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checkCompatibility="1"/>
  <workbookProtection workbookPassword="DD4C" lockStructure="1"/>
  <bookViews>
    <workbookView xWindow="32760" yWindow="32760" windowWidth="20385" windowHeight="7665" tabRatio="659"/>
  </bookViews>
  <sheets>
    <sheet name="簡易試算シート" sheetId="3" r:id="rId1"/>
    <sheet name="試算方法" sheetId="5" r:id="rId2"/>
    <sheet name="試算シート" sheetId="1" state="hidden" r:id="rId3"/>
    <sheet name="軽減判定シート" sheetId="6" state="hidden" r:id="rId4"/>
    <sheet name="所得計算シート" sheetId="2" state="hidden" r:id="rId5"/>
    <sheet name="【編集者】入力・計算用シート" sheetId="4" state="hidden" r:id="rId6"/>
  </sheets>
  <definedNames>
    <definedName name="世帯主あり">#REF!</definedName>
    <definedName name="世帯主なし">#REF!</definedName>
    <definedName name="_xlnm.Print_Area" localSheetId="1">試算方法!$A$1:$N$46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<sst xmlns="http://schemas.openxmlformats.org/spreadsheetml/2006/main" xmlns:r="http://schemas.openxmlformats.org/officeDocument/2006/relationships" count="380" uniqueCount="380">
  <si>
    <t>未就学児</t>
    <rPh sb="0" eb="4">
      <t>みしゅうがくじ</t>
    </rPh>
    <phoneticPr fontId="20" type="Hiragana"/>
  </si>
  <si>
    <t>取得</t>
    <rPh sb="0" eb="2">
      <t>しゅとく</t>
    </rPh>
    <phoneticPr fontId="20" type="Hiragana"/>
  </si>
  <si>
    <t>加入者７</t>
  </si>
  <si>
    <t>子子</t>
    <rPh sb="0" eb="1">
      <t>コ</t>
    </rPh>
    <rPh sb="1" eb="2">
      <t>コ</t>
    </rPh>
    <phoneticPr fontId="46"/>
  </si>
  <si>
    <t>平等割</t>
    <rPh sb="0" eb="2">
      <t>びょうどう</t>
    </rPh>
    <rPh sb="2" eb="3">
      <t>わり</t>
    </rPh>
    <phoneticPr fontId="20" type="Hiragana"/>
  </si>
  <si>
    <t>喪失</t>
    <rPh sb="0" eb="2">
      <t>そうしつ</t>
    </rPh>
    <phoneticPr fontId="20" type="Hiragana"/>
  </si>
  <si>
    <t>～</t>
  </si>
  <si>
    <t>取得喪失</t>
    <rPh sb="0" eb="4">
      <t>しゅとく</t>
    </rPh>
    <phoneticPr fontId="20" type="Hiragana"/>
  </si>
  <si>
    <t>E</t>
  </si>
  <si>
    <t>加入者8</t>
  </si>
  <si>
    <t>１月</t>
  </si>
  <si>
    <t>年金所得</t>
    <rPh sb="0" eb="4">
      <t>ねんきん</t>
    </rPh>
    <phoneticPr fontId="20" type="Hiragana"/>
  </si>
  <si>
    <t>平等割</t>
    <rPh sb="0" eb="3">
      <t>びょ</t>
    </rPh>
    <phoneticPr fontId="20" type="Hiragana"/>
  </si>
  <si>
    <t>※７・５・２割軽減は小数点以下を切り上げ。</t>
    <rPh sb="6" eb="7">
      <t>わ</t>
    </rPh>
    <rPh sb="7" eb="9">
      <t>けいげん</t>
    </rPh>
    <rPh sb="10" eb="15">
      <t>しょうすう</t>
    </rPh>
    <rPh sb="16" eb="17">
      <t>き</t>
    </rPh>
    <rPh sb="18" eb="19">
      <t>あ</t>
    </rPh>
    <phoneticPr fontId="20" type="Hiragana"/>
  </si>
  <si>
    <t>生年月日</t>
    <rPh sb="0" eb="4">
      <t>せいねん</t>
    </rPh>
    <phoneticPr fontId="20" type="Hiragana"/>
  </si>
  <si>
    <t>所得</t>
    <rPh sb="0" eb="2">
      <t>しょとく</t>
    </rPh>
    <phoneticPr fontId="20" type="Hiragana"/>
  </si>
  <si>
    <t>均等割</t>
  </si>
  <si>
    <t>喪失日</t>
    <rPh sb="0" eb="3">
      <t>そうし</t>
    </rPh>
    <phoneticPr fontId="20" type="Hiragana"/>
  </si>
  <si>
    <t>加入者1</t>
    <rPh sb="0" eb="4">
      <t>かにゅう</t>
    </rPh>
    <phoneticPr fontId="20" type="Hiragana"/>
  </si>
  <si>
    <t>５月</t>
  </si>
  <si>
    <t>加入者３</t>
  </si>
  <si>
    <t>B＝A/4（千円未満切り捨て）,B*2.8-80,000</t>
    <rPh sb="6" eb="14">
      <t>せんえんみまんき</t>
    </rPh>
    <phoneticPr fontId="20" type="Hiragana"/>
  </si>
  <si>
    <t>加入者2</t>
  </si>
  <si>
    <t>加入者7</t>
  </si>
  <si>
    <t>子ども子育て</t>
    <rPh sb="0" eb="1">
      <t>こ</t>
    </rPh>
    <rPh sb="3" eb="5">
      <t>こそだ</t>
    </rPh>
    <phoneticPr fontId="20" type="Hiragana"/>
  </si>
  <si>
    <t>加入者3</t>
  </si>
  <si>
    <t>非該当</t>
  </si>
  <si>
    <t>令和</t>
    <rPh sb="0" eb="2">
      <t>れいわ</t>
    </rPh>
    <phoneticPr fontId="20" type="Hiragana"/>
  </si>
  <si>
    <t>介</t>
    <rPh sb="0" eb="1">
      <t>スケ</t>
    </rPh>
    <phoneticPr fontId="46"/>
  </si>
  <si>
    <t>加入者4</t>
  </si>
  <si>
    <t>～目次～</t>
    <rPh sb="1" eb="3">
      <t>もくじ</t>
    </rPh>
    <phoneticPr fontId="20" type="Hiragana"/>
  </si>
  <si>
    <t>所得割</t>
    <rPh sb="0" eb="2">
      <t>ショトク</t>
    </rPh>
    <rPh sb="2" eb="3">
      <t>ワリ</t>
    </rPh>
    <phoneticPr fontId="46"/>
  </si>
  <si>
    <t>数値</t>
    <rPh sb="0" eb="2">
      <t>すうち</t>
    </rPh>
    <phoneticPr fontId="20" type="Hiragana"/>
  </si>
  <si>
    <t>医</t>
    <rPh sb="0" eb="1">
      <t>イ</t>
    </rPh>
    <phoneticPr fontId="46"/>
  </si>
  <si>
    <t>加入者5</t>
  </si>
  <si>
    <t>１０月</t>
  </si>
  <si>
    <t>均等割額</t>
    <rPh sb="0" eb="3">
      <t>きんとうわり</t>
    </rPh>
    <rPh sb="3" eb="4">
      <t>がく</t>
    </rPh>
    <phoneticPr fontId="20" type="Hiragana"/>
  </si>
  <si>
    <t>×給与所得者等-1</t>
    <rPh sb="1" eb="5">
      <t>きゅうよしょとく</t>
    </rPh>
    <rPh sb="5" eb="6">
      <t>もの</t>
    </rPh>
    <rPh sb="6" eb="7">
      <t>とう</t>
    </rPh>
    <phoneticPr fontId="20" type="Hiragana"/>
  </si>
  <si>
    <t>加入者6</t>
  </si>
  <si>
    <t>）</t>
  </si>
  <si>
    <t>４月</t>
    <rPh sb="1" eb="2">
      <t>がつ</t>
    </rPh>
    <phoneticPr fontId="20" type="Hiragana"/>
  </si>
  <si>
    <t>６月</t>
  </si>
  <si>
    <t>７月</t>
  </si>
  <si>
    <t>（自動判定）</t>
    <rPh sb="1" eb="5">
      <t>じど</t>
    </rPh>
    <phoneticPr fontId="20" type="Hiragana"/>
  </si>
  <si>
    <t>８月</t>
  </si>
  <si>
    <t>-</t>
  </si>
  <si>
    <t>入力チェック</t>
    <rPh sb="0" eb="5">
      <t>にゅうりょ</t>
    </rPh>
    <phoneticPr fontId="20" type="Hiragana"/>
  </si>
  <si>
    <t>１１月</t>
  </si>
  <si>
    <t>９月</t>
  </si>
  <si>
    <t>【加入者情報】</t>
    <rPh sb="1" eb="4">
      <t>かにゅうしゃ</t>
    </rPh>
    <rPh sb="4" eb="6">
      <t>じょうほう</t>
    </rPh>
    <phoneticPr fontId="20" type="Hiragana"/>
  </si>
  <si>
    <t>１２月</t>
  </si>
  <si>
    <t>所得割基礎額</t>
    <rPh sb="0" eb="2">
      <t>ショトク</t>
    </rPh>
    <rPh sb="2" eb="3">
      <t>ワリ</t>
    </rPh>
    <rPh sb="3" eb="5">
      <t>キソ</t>
    </rPh>
    <rPh sb="5" eb="6">
      <t>ガク</t>
    </rPh>
    <phoneticPr fontId="46"/>
  </si>
  <si>
    <t>所得割ひと月</t>
    <rPh sb="0" eb="2">
      <t>ショトク</t>
    </rPh>
    <rPh sb="2" eb="3">
      <t>ワリ</t>
    </rPh>
    <rPh sb="5" eb="6">
      <t>ツキ</t>
    </rPh>
    <phoneticPr fontId="46"/>
  </si>
  <si>
    <t>取得日　</t>
    <rPh sb="0" eb="3">
      <t>しゅと</t>
    </rPh>
    <phoneticPr fontId="20" type="Hiragana"/>
  </si>
  <si>
    <t>子子</t>
    <rPh sb="0" eb="2">
      <t>ココ</t>
    </rPh>
    <phoneticPr fontId="46"/>
  </si>
  <si>
    <t>判定３（年金以外の所得）</t>
    <rPh sb="0" eb="2">
      <t>はんてい</t>
    </rPh>
    <phoneticPr fontId="20" type="Hiragana"/>
  </si>
  <si>
    <t>判定５</t>
    <rPh sb="0" eb="2">
      <t>はんてい</t>
    </rPh>
    <phoneticPr fontId="20" type="Hiragana"/>
  </si>
  <si>
    <t>後</t>
    <rPh sb="0" eb="1">
      <t>アト</t>
    </rPh>
    <phoneticPr fontId="46"/>
  </si>
  <si>
    <t>１/４軽減</t>
    <rPh sb="3" eb="5">
      <t>けいげん</t>
    </rPh>
    <phoneticPr fontId="20" type="Hiragana"/>
  </si>
  <si>
    <t>子子</t>
    <rPh sb="0" eb="1">
      <t>こ</t>
    </rPh>
    <rPh sb="1" eb="2">
      <t>こ</t>
    </rPh>
    <phoneticPr fontId="20" type="Hiragana"/>
  </si>
  <si>
    <t>計</t>
    <rPh sb="0" eb="1">
      <t>けい</t>
    </rPh>
    <phoneticPr fontId="20" type="Hiragana"/>
  </si>
  <si>
    <t>旧国軽減
（単身世帯）</t>
    <rPh sb="0" eb="1">
      <t>きゅう</t>
    </rPh>
    <rPh sb="1" eb="2">
      <t>くに</t>
    </rPh>
    <rPh sb="2" eb="4">
      <t>けいげん</t>
    </rPh>
    <rPh sb="6" eb="10">
      <t>たんしん</t>
    </rPh>
    <phoneticPr fontId="20" type="Hiragana"/>
  </si>
  <si>
    <t>＜和暦確認用＞</t>
    <rPh sb="1" eb="3">
      <t>われき</t>
    </rPh>
    <rPh sb="3" eb="5">
      <t>かくにん</t>
    </rPh>
    <rPh sb="5" eb="6">
      <t>よう</t>
    </rPh>
    <phoneticPr fontId="20" type="Hiragana"/>
  </si>
  <si>
    <t>赤枠</t>
    <rPh sb="0" eb="2">
      <t>あか</t>
    </rPh>
    <phoneticPr fontId="20" type="Hiragana"/>
  </si>
  <si>
    <t>②</t>
  </si>
  <si>
    <t>ひと月</t>
    <rPh sb="2" eb="3">
      <t>ツキ</t>
    </rPh>
    <phoneticPr fontId="46"/>
  </si>
  <si>
    <t>判定１（受給額）</t>
    <rPh sb="0" eb="2">
      <t>はんてい</t>
    </rPh>
    <rPh sb="4" eb="7">
      <t>じゅ</t>
    </rPh>
    <phoneticPr fontId="20" type="Hiragana"/>
  </si>
  <si>
    <t>C</t>
  </si>
  <si>
    <t>A</t>
  </si>
  <si>
    <t>平等割</t>
    <rPh sb="0" eb="3">
      <t>びょうどうわり</t>
    </rPh>
    <phoneticPr fontId="20" type="Hiragana"/>
  </si>
  <si>
    <t>【編集者】計算シート</t>
    <rPh sb="5" eb="7">
      <t>けいさん</t>
    </rPh>
    <phoneticPr fontId="20" type="Hiragana"/>
  </si>
  <si>
    <t>基礎控除</t>
    <rPh sb="0" eb="2">
      <t>キソ</t>
    </rPh>
    <rPh sb="2" eb="4">
      <t>コウジョ</t>
    </rPh>
    <phoneticPr fontId="46"/>
  </si>
  <si>
    <t>合計</t>
    <rPh sb="0" eb="2">
      <t>ごうけい</t>
    </rPh>
    <phoneticPr fontId="20" type="Hiragana"/>
  </si>
  <si>
    <t>【試算結果】</t>
    <rPh sb="1" eb="3">
      <t>しさん</t>
    </rPh>
    <rPh sb="3" eb="5">
      <t>けっか</t>
    </rPh>
    <phoneticPr fontId="20" type="Hiragana"/>
  </si>
  <si>
    <t/>
  </si>
  <si>
    <t>７割</t>
  </si>
  <si>
    <t>【エラーメッセージ】</t>
  </si>
  <si>
    <t>翌１月</t>
    <rPh sb="0" eb="1">
      <t>よく</t>
    </rPh>
    <phoneticPr fontId="20" type="Hiragana"/>
  </si>
  <si>
    <t>翌２月</t>
    <rPh sb="0" eb="1">
      <t>よく</t>
    </rPh>
    <phoneticPr fontId="20" type="Hiragana"/>
  </si>
  <si>
    <t>翌３月</t>
    <rPh sb="0" eb="1">
      <t>よく</t>
    </rPh>
    <phoneticPr fontId="20" type="Hiragana"/>
  </si>
  <si>
    <t>年度　富山市国民健康保険料　簡易試算シート</t>
    <rPh sb="0" eb="2">
      <t>ねんど</t>
    </rPh>
    <rPh sb="3" eb="6">
      <t>とやまし</t>
    </rPh>
    <rPh sb="6" eb="10">
      <t>こくみんけんこう</t>
    </rPh>
    <rPh sb="10" eb="13">
      <t>ほけんりょう</t>
    </rPh>
    <rPh sb="14" eb="16">
      <t>かんい</t>
    </rPh>
    <rPh sb="16" eb="18">
      <t>しさん</t>
    </rPh>
    <phoneticPr fontId="20" type="Hiragana"/>
  </si>
  <si>
    <t>加入者１</t>
    <rPh sb="0" eb="3">
      <t>かにゅうしゃ</t>
    </rPh>
    <phoneticPr fontId="20" type="Hiragana"/>
  </si>
  <si>
    <t>加入者２</t>
  </si>
  <si>
    <t>加入者３</t>
    <rPh sb="0" eb="3">
      <t>かにゅうしゃ</t>
    </rPh>
    <phoneticPr fontId="20" type="Hiragana"/>
  </si>
  <si>
    <t>加入者４</t>
  </si>
  <si>
    <t>○給与・年金以外の所得（その他の所得）　　　　　</t>
    <rPh sb="1" eb="4">
      <t>きゅう</t>
    </rPh>
    <rPh sb="4" eb="11">
      <t>ねんきんいが</t>
    </rPh>
    <rPh sb="14" eb="15">
      <t>た</t>
    </rPh>
    <rPh sb="16" eb="18">
      <t>しょとく</t>
    </rPh>
    <phoneticPr fontId="20" type="Hiragana"/>
  </si>
  <si>
    <t>加入者５</t>
    <rPh sb="0" eb="3">
      <t>かにゅうしゃ</t>
    </rPh>
    <phoneticPr fontId="20" type="Hiragana"/>
  </si>
  <si>
    <t>加入者６</t>
  </si>
  <si>
    <t>年間
（１２ヶ月）</t>
    <rPh sb="0" eb="2">
      <t>ねんかん</t>
    </rPh>
    <rPh sb="6" eb="8">
      <t>かげつ</t>
    </rPh>
    <phoneticPr fontId="20" type="Hiragana"/>
  </si>
  <si>
    <t>加入者７</t>
    <rPh sb="0" eb="3">
      <t>かにゅうしゃ</t>
    </rPh>
    <phoneticPr fontId="20" type="Hiragana"/>
  </si>
  <si>
    <t>加入者２</t>
    <rPh sb="0" eb="3">
      <t>かにゅうしゃ</t>
    </rPh>
    <phoneticPr fontId="20" type="Hiragana"/>
  </si>
  <si>
    <t>加入者８</t>
  </si>
  <si>
    <t>介</t>
    <rPh sb="0" eb="1">
      <t>かい</t>
    </rPh>
    <phoneticPr fontId="20" type="Hiragana"/>
  </si>
  <si>
    <t>判定用</t>
    <rPh sb="0" eb="3">
      <t>はんていよう</t>
    </rPh>
    <phoneticPr fontId="20" type="Hiragana"/>
  </si>
  <si>
    <t>月</t>
    <rPh sb="0" eb="1">
      <t>つき</t>
    </rPh>
    <phoneticPr fontId="20" type="Hiragana"/>
  </si>
  <si>
    <t>　　⑥先物取引に係る雑所得等の金額</t>
  </si>
  <si>
    <t>医療</t>
    <rPh sb="0" eb="2">
      <t>いりょう</t>
    </rPh>
    <phoneticPr fontId="20" type="Hiragana"/>
  </si>
  <si>
    <t>○給与収入　　　　</t>
    <rPh sb="1" eb="5">
      <t>きゅうよ</t>
    </rPh>
    <phoneticPr fontId="20" type="Hiragana"/>
  </si>
  <si>
    <t>後期</t>
    <rPh sb="0" eb="2">
      <t>こうき</t>
    </rPh>
    <phoneticPr fontId="20" type="Hiragana"/>
  </si>
  <si>
    <t>介護</t>
    <rPh sb="0" eb="2">
      <t>かいご</t>
    </rPh>
    <phoneticPr fontId="20" type="Hiragana"/>
  </si>
  <si>
    <t>擬主</t>
    <rPh sb="0" eb="2">
      <t>ぎ</t>
    </rPh>
    <phoneticPr fontId="20" type="Hiragana"/>
  </si>
  <si>
    <t>【保険料計算】※各項目の合計は、小数点以下の端数を切捨て。</t>
    <rPh sb="1" eb="6">
      <t>ほけんりょ</t>
    </rPh>
    <rPh sb="8" eb="11">
      <t>かくこうもく</t>
    </rPh>
    <rPh sb="12" eb="14">
      <t>ごうけい</t>
    </rPh>
    <rPh sb="16" eb="21">
      <t>しょうすうてんいか</t>
    </rPh>
    <rPh sb="22" eb="24">
      <t>はすう</t>
    </rPh>
    <rPh sb="25" eb="27">
      <t>きりす</t>
    </rPh>
    <phoneticPr fontId="20" type="Hiragana"/>
  </si>
  <si>
    <t>旧国判定</t>
    <rPh sb="0" eb="2">
      <t>きゅ</t>
    </rPh>
    <rPh sb="2" eb="4">
      <t>はんてい</t>
    </rPh>
    <phoneticPr fontId="20" type="Hiragana"/>
  </si>
  <si>
    <t>加入</t>
    <rPh sb="0" eb="2">
      <t>かにゅう</t>
    </rPh>
    <phoneticPr fontId="20" type="Hiragana"/>
  </si>
  <si>
    <t>法定軽減</t>
    <rPh sb="0" eb="4">
      <t>ほうてい</t>
    </rPh>
    <phoneticPr fontId="20" type="Hiragana"/>
  </si>
  <si>
    <t>特定同一世帯
所属者（擬主）</t>
    <rPh sb="0" eb="6">
      <t>とくていどういつせたい</t>
    </rPh>
    <rPh sb="7" eb="10">
      <t>しょぞくしゃ</t>
    </rPh>
    <rPh sb="10" eb="13">
      <t>(ぎ</t>
    </rPh>
    <phoneticPr fontId="20" type="Hiragana"/>
  </si>
  <si>
    <t>年齢</t>
    <rPh sb="0" eb="2">
      <t>ねんれい</t>
    </rPh>
    <phoneticPr fontId="20" type="Hiragana"/>
  </si>
  <si>
    <t>軽減判定被保険者数</t>
    <rPh sb="0" eb="4">
      <t>けいげ</t>
    </rPh>
    <rPh sb="4" eb="9">
      <t>ひほけんじ</t>
    </rPh>
    <phoneticPr fontId="20" type="Hiragana"/>
  </si>
  <si>
    <t>軽減判定所得</t>
    <rPh sb="0" eb="6">
      <t>けいげんは</t>
    </rPh>
    <phoneticPr fontId="20" type="Hiragana"/>
  </si>
  <si>
    <t>⑹限度超過額</t>
    <rPh sb="1" eb="3">
      <t>げんど</t>
    </rPh>
    <rPh sb="3" eb="6">
      <t>ちょうかがく</t>
    </rPh>
    <phoneticPr fontId="20" type="Hiragana"/>
  </si>
  <si>
    <t>７割</t>
    <rPh sb="1" eb="2">
      <t>わり</t>
    </rPh>
    <phoneticPr fontId="20" type="Hiragana"/>
  </si>
  <si>
    <t>５割</t>
    <rPh sb="1" eb="2">
      <t>わり</t>
    </rPh>
    <phoneticPr fontId="20" type="Hiragana"/>
  </si>
  <si>
    <t>軽減判定</t>
    <rPh sb="0" eb="4">
      <t>けいげ</t>
    </rPh>
    <phoneticPr fontId="20" type="Hiragana"/>
  </si>
  <si>
    <t>２割</t>
    <rPh sb="1" eb="2">
      <t>わり</t>
    </rPh>
    <phoneticPr fontId="20" type="Hiragana"/>
  </si>
  <si>
    <t>１/２軽減</t>
    <rPh sb="3" eb="5">
      <t>けいげん</t>
    </rPh>
    <phoneticPr fontId="20" type="Hiragana"/>
  </si>
  <si>
    <t>円</t>
    <rPh sb="0" eb="1">
      <t>えん</t>
    </rPh>
    <phoneticPr fontId="20" type="Hiragana"/>
  </si>
  <si>
    <t>【合計所得金額】</t>
    <rPh sb="1" eb="5">
      <t>ごうけ</t>
    </rPh>
    <rPh sb="5" eb="7">
      <t>きんがく</t>
    </rPh>
    <phoneticPr fontId="20" type="Hiragana"/>
  </si>
  <si>
    <t>円）</t>
    <rPh sb="0" eb="1">
      <t>えん</t>
    </rPh>
    <phoneticPr fontId="20" type="Hiragana"/>
  </si>
  <si>
    <t>１千万円以下</t>
  </si>
  <si>
    <t>所得割</t>
    <rPh sb="0" eb="3">
      <t>しょと</t>
    </rPh>
    <phoneticPr fontId="20" type="Hiragana"/>
  </si>
  <si>
    <t>旧国（１/２）</t>
  </si>
  <si>
    <t>対象者年齢</t>
    <rPh sb="0" eb="3">
      <t>たいしょうしゃ</t>
    </rPh>
    <rPh sb="3" eb="5">
      <t>ねんれい</t>
    </rPh>
    <phoneticPr fontId="20" type="Hiragana"/>
  </si>
  <si>
    <t>【内訳】</t>
    <rPh sb="1" eb="3">
      <t>うちわけ</t>
    </rPh>
    <phoneticPr fontId="20" type="Hiragana"/>
  </si>
  <si>
    <t>区分</t>
    <rPh sb="0" eb="2">
      <t>くぶん</t>
    </rPh>
    <phoneticPr fontId="20" type="Hiragana"/>
  </si>
  <si>
    <t>年度　軽減判定シート</t>
    <rPh sb="0" eb="2">
      <t>ねんど</t>
    </rPh>
    <rPh sb="3" eb="7">
      <t>けいげ</t>
    </rPh>
    <phoneticPr fontId="20" type="Hiragana"/>
  </si>
  <si>
    <t>医療分</t>
    <rPh sb="0" eb="3">
      <t>いりょ</t>
    </rPh>
    <phoneticPr fontId="20" type="Hiragana"/>
  </si>
  <si>
    <t>判定４</t>
    <rPh sb="0" eb="2">
      <t>はんてい</t>
    </rPh>
    <phoneticPr fontId="20" type="Hiragana"/>
  </si>
  <si>
    <t>後期高齢者支援金分</t>
    <rPh sb="0" eb="5">
      <t>こうきこう</t>
    </rPh>
    <rPh sb="5" eb="9">
      <t>しえんき</t>
    </rPh>
    <phoneticPr fontId="20" type="Hiragana"/>
  </si>
  <si>
    <t>介護分</t>
    <rPh sb="0" eb="3">
      <t>かいご</t>
    </rPh>
    <phoneticPr fontId="20" type="Hiragana"/>
  </si>
  <si>
    <t>　加入者の生年月日を入力してください。。</t>
    <rPh sb="1" eb="4">
      <t>かにゅうしゃ</t>
    </rPh>
    <rPh sb="5" eb="10">
      <t>せいねんが</t>
    </rPh>
    <rPh sb="10" eb="12">
      <t>にゅうりょく</t>
    </rPh>
    <phoneticPr fontId="20" type="Hiragana"/>
  </si>
  <si>
    <t>平等割</t>
  </si>
  <si>
    <t>限度額</t>
    <rPh sb="0" eb="2">
      <t>ゲンド</t>
    </rPh>
    <rPh sb="2" eb="3">
      <t>ガク</t>
    </rPh>
    <phoneticPr fontId="46"/>
  </si>
  <si>
    <t>基礎分</t>
    <rPh sb="0" eb="3">
      <t>きそぶ</t>
    </rPh>
    <phoneticPr fontId="20" type="Hiragana"/>
  </si>
  <si>
    <t>　　②山林所得</t>
    <rPh sb="3" eb="7">
      <t>さんりん</t>
    </rPh>
    <phoneticPr fontId="20" type="Hiragana"/>
  </si>
  <si>
    <t>×加入者
+旧国保者</t>
    <rPh sb="1" eb="4">
      <t>かにゅうしゃ</t>
    </rPh>
    <rPh sb="6" eb="10">
      <t>きゅうこ</t>
    </rPh>
    <phoneticPr fontId="20" type="Hiragana"/>
  </si>
  <si>
    <t>C　うち年金所得</t>
  </si>
  <si>
    <t>H</t>
  </si>
  <si>
    <t>判定所得</t>
    <rPh sb="0" eb="4">
      <t>はんていしょとく</t>
    </rPh>
    <phoneticPr fontId="20" type="Hiragana"/>
  </si>
  <si>
    <t>④生年月日判定</t>
    <rPh sb="1" eb="5">
      <t>せいねん</t>
    </rPh>
    <rPh sb="5" eb="7">
      <t>はんてい</t>
    </rPh>
    <phoneticPr fontId="20" type="Hiragana"/>
  </si>
  <si>
    <t>１８以上均等割</t>
    <rPh sb="2" eb="4">
      <t>いじょう</t>
    </rPh>
    <phoneticPr fontId="20" type="Hiragana"/>
  </si>
  <si>
    <t>先に「試算シート」の①加入者情報を入力してください。</t>
    <rPh sb="0" eb="1">
      <t>さき</t>
    </rPh>
    <rPh sb="3" eb="5">
      <t>しさん</t>
    </rPh>
    <rPh sb="11" eb="17">
      <t>かにゅうしゃ</t>
    </rPh>
    <rPh sb="17" eb="19">
      <t>にゅうりょく</t>
    </rPh>
    <phoneticPr fontId="20" type="Hiragana"/>
  </si>
  <si>
    <t>【判定結果】</t>
    <rPh sb="1" eb="5">
      <t>はんてい</t>
    </rPh>
    <phoneticPr fontId="20" type="Hiragana"/>
  </si>
  <si>
    <t>①</t>
  </si>
  <si>
    <t>加入者数</t>
    <rPh sb="0" eb="4">
      <t>かにゅう</t>
    </rPh>
    <phoneticPr fontId="20" type="Hiragana"/>
  </si>
  <si>
    <t>　※法定軽減の判定時に年金所得から最大１５万円が控除されます。</t>
    <rPh sb="2" eb="4">
      <t>ほうてい</t>
    </rPh>
    <phoneticPr fontId="20" type="Hiragana"/>
  </si>
  <si>
    <t>年</t>
    <rPh sb="0" eb="1">
      <t>ねん</t>
    </rPh>
    <phoneticPr fontId="20" type="Hiragana"/>
  </si>
  <si>
    <t>加入者６</t>
    <rPh sb="0" eb="3">
      <t>かにゅうしゃ</t>
    </rPh>
    <phoneticPr fontId="20" type="Hiragana"/>
  </si>
  <si>
    <t>③所得計算</t>
    <rPh sb="1" eb="5">
      <t>しょとく</t>
    </rPh>
    <phoneticPr fontId="20" type="Hiragana"/>
  </si>
  <si>
    <t>日</t>
    <rPh sb="0" eb="1">
      <t>にち</t>
    </rPh>
    <phoneticPr fontId="20" type="Hiragana"/>
  </si>
  <si>
    <t>元号</t>
    <rPh sb="0" eb="1">
      <t>もと</t>
    </rPh>
    <rPh sb="1" eb="2">
      <t>ごう</t>
    </rPh>
    <phoneticPr fontId="20" type="Hiragana"/>
  </si>
  <si>
    <t>限度額超過</t>
    <rPh sb="0" eb="3">
      <t>ゲン</t>
    </rPh>
    <rPh sb="3" eb="5">
      <t>チョウカ</t>
    </rPh>
    <phoneticPr fontId="46"/>
  </si>
  <si>
    <t>割軽減</t>
    <rPh sb="0" eb="3">
      <t>わりけ</t>
    </rPh>
    <phoneticPr fontId="20" type="Hiragana"/>
  </si>
  <si>
    <t>旧国（なし）</t>
  </si>
  <si>
    <t>B＝A/4（千円未満切り捨て）,B*3.2-440,000</t>
  </si>
  <si>
    <t>年度</t>
    <rPh sb="0" eb="2">
      <t>ねんど</t>
    </rPh>
    <phoneticPr fontId="20" type="Hiragana"/>
  </si>
  <si>
    <t>Ⓐ</t>
  </si>
  <si>
    <t>Ⓑ</t>
  </si>
  <si>
    <t>【判定】</t>
    <rPh sb="1" eb="3">
      <t>はんてい</t>
    </rPh>
    <phoneticPr fontId="20" type="Hiragana"/>
  </si>
  <si>
    <t>計算</t>
    <rPh sb="0" eb="2">
      <t>けいさん</t>
    </rPh>
    <phoneticPr fontId="20" type="Hiragana"/>
  </si>
  <si>
    <t>【年金収入】</t>
    <rPh sb="1" eb="5">
      <t>ねんきん</t>
    </rPh>
    <phoneticPr fontId="20" type="Hiragana"/>
  </si>
  <si>
    <t>【加入者×加入期間】</t>
    <rPh sb="1" eb="4">
      <t>かにゅうしゃ</t>
    </rPh>
    <rPh sb="5" eb="9">
      <t>かにゅう</t>
    </rPh>
    <phoneticPr fontId="20" type="Hiragana"/>
  </si>
  <si>
    <t>１８歳以上均等割</t>
    <rPh sb="2" eb="3">
      <t>とし</t>
    </rPh>
    <rPh sb="3" eb="5">
      <t>いじょう</t>
    </rPh>
    <rPh sb="5" eb="8">
      <t>きんとうわ</t>
    </rPh>
    <phoneticPr fontId="20" type="Hiragana"/>
  </si>
  <si>
    <t>【備考】</t>
    <rPh sb="1" eb="3">
      <t>びこう</t>
    </rPh>
    <phoneticPr fontId="20" type="Hiragana"/>
  </si>
  <si>
    <t>対象</t>
    <rPh sb="0" eb="2">
      <t>たいしょう</t>
    </rPh>
    <phoneticPr fontId="20" type="Hiragana"/>
  </si>
  <si>
    <t>※１　「子ども・特別障害者等を有する者等の所得金額調整控除」
　　給与収入金額８５０万円超で、「本人が特別障害者」「２３歳未満の扶養親族を有する者「特別障害者であ
　　る同一生計配偶者または扶養親族を有する者」のいずれかにあたる場合に該当。「給与収入金額（１千
　　万円超の場合は１千万円）－８５０万円×１０％」の金額を控除。
※２　「給与所得と年金所得の双方を有する者に対する所得金額調整控除」
　　給与所得と年金所得がある者で、その合計額が１０万円を超える場合に該当。「｛給与所得（１０万円超の　
　　場合は１０万円）+年金所得（１０万円超の場合は１０万円）｝－１０万円」の金額を控除。</t>
    <rPh sb="114" eb="116">
      <t>ばあい</t>
    </rPh>
    <rPh sb="117" eb="119">
      <t>がいとう</t>
    </rPh>
    <rPh sb="121" eb="125">
      <t>きゅうよ</t>
    </rPh>
    <rPh sb="125" eb="127">
      <t>きんがく</t>
    </rPh>
    <rPh sb="129" eb="130">
      <t>せん</t>
    </rPh>
    <rPh sb="133" eb="135">
      <t>まんえん</t>
    </rPh>
    <rPh sb="135" eb="136">
      <t>ちょう</t>
    </rPh>
    <rPh sb="137" eb="140">
      <t>ばあ</t>
    </rPh>
    <rPh sb="145" eb="151">
      <t>-850まん</t>
    </rPh>
    <rPh sb="157" eb="162">
      <t>きんがく</t>
    </rPh>
    <rPh sb="169" eb="174">
      <t>きゅうよし</t>
    </rPh>
    <rPh sb="174" eb="182">
      <t>ねんきんしょとく</t>
    </rPh>
    <rPh sb="182" eb="183">
      <t>ゆう</t>
    </rPh>
    <rPh sb="187" eb="188">
      <t>たい</t>
    </rPh>
    <rPh sb="190" eb="198">
      <t>しょとくきんが</t>
    </rPh>
    <rPh sb="202" eb="207">
      <t>きゅうよ所</t>
    </rPh>
    <rPh sb="207" eb="214">
      <t>ねんきんしょと</t>
    </rPh>
    <rPh sb="214" eb="215">
      <t>もの</t>
    </rPh>
    <rPh sb="219" eb="223">
      <t>ごうけ</t>
    </rPh>
    <rPh sb="225" eb="227">
      <t>まんえん</t>
    </rPh>
    <rPh sb="228" eb="229">
      <t>こ</t>
    </rPh>
    <rPh sb="231" eb="234">
      <t>ば</t>
    </rPh>
    <rPh sb="234" eb="236">
      <t>がいとう</t>
    </rPh>
    <rPh sb="241" eb="243">
      <t>しょとく</t>
    </rPh>
    <rPh sb="248" eb="249">
      <t>ちょう</t>
    </rPh>
    <rPh sb="263" eb="265">
      <t>ねんきん</t>
    </rPh>
    <phoneticPr fontId="20" type="Hiragana"/>
  </si>
  <si>
    <t>対象者</t>
    <rPh sb="0" eb="3">
      <t>たいしょうしゃ</t>
    </rPh>
    <phoneticPr fontId="20" type="Hiragana"/>
  </si>
  <si>
    <t>総所得金額</t>
    <rPh sb="0" eb="5">
      <t>そうしょと</t>
    </rPh>
    <phoneticPr fontId="20" type="Hiragana"/>
  </si>
  <si>
    <t>年金控除</t>
    <rPh sb="0" eb="4">
      <t>ねんきん</t>
    </rPh>
    <phoneticPr fontId="20" type="Hiragana"/>
  </si>
  <si>
    <t>うち年金所得</t>
  </si>
  <si>
    <t>受給額</t>
    <rPh sb="0" eb="3">
      <t>じゅ</t>
    </rPh>
    <phoneticPr fontId="20" type="Hiragana"/>
  </si>
  <si>
    <t>人)</t>
    <rPh sb="0" eb="1">
      <t>にん</t>
    </rPh>
    <phoneticPr fontId="20" type="Hiragana"/>
  </si>
  <si>
    <t>人　     (給与所得者等</t>
    <rPh sb="0" eb="1">
      <t>にん</t>
    </rPh>
    <rPh sb="8" eb="14">
      <t>きゅうよしょ</t>
    </rPh>
    <phoneticPr fontId="20" type="Hiragana"/>
  </si>
  <si>
    <t>判定</t>
    <rPh sb="0" eb="2">
      <t>はんてい</t>
    </rPh>
    <phoneticPr fontId="20" type="Hiragana"/>
  </si>
  <si>
    <t>軽減</t>
  </si>
  <si>
    <t>【所得割計算】</t>
    <rPh sb="1" eb="6">
      <t>しょとくわりけいさん</t>
    </rPh>
    <phoneticPr fontId="20" type="Hiragana"/>
  </si>
  <si>
    <t>元号</t>
    <rPh sb="0" eb="2">
      <t>げんごう</t>
    </rPh>
    <phoneticPr fontId="20" type="Hiragana"/>
  </si>
  <si>
    <t>判定３</t>
    <rPh sb="0" eb="3">
      <t>はんて</t>
    </rPh>
    <phoneticPr fontId="20" type="Hiragana"/>
  </si>
  <si>
    <t>メッセージ</t>
  </si>
  <si>
    <t>　※前年度１/１時点で６５歳以上の方のみ入力してください。</t>
    <rPh sb="2" eb="5">
      <t>ぜんねんど</t>
    </rPh>
    <rPh sb="17" eb="18">
      <t>かた</t>
    </rPh>
    <rPh sb="20" eb="22">
      <t>にゅうりょく</t>
    </rPh>
    <phoneticPr fontId="20" type="Hiragana"/>
  </si>
  <si>
    <t>所得金額調整控除①（※１）</t>
    <rPh sb="0" eb="8">
      <t>しょとくきんが</t>
    </rPh>
    <phoneticPr fontId="20" type="Hiragana"/>
  </si>
  <si>
    <t>【料率】</t>
    <rPh sb="1" eb="3">
      <t>りょうりつ</t>
    </rPh>
    <phoneticPr fontId="20" type="Hiragana"/>
  </si>
  <si>
    <t>後期高齢者
支援金分</t>
    <rPh sb="0" eb="5">
      <t>こうきこう</t>
    </rPh>
    <rPh sb="6" eb="10">
      <t>しえんき</t>
    </rPh>
    <phoneticPr fontId="20" type="Hiragana"/>
  </si>
  <si>
    <t>子ども子育て
支援金分</t>
    <rPh sb="0" eb="1">
      <t>こ</t>
    </rPh>
    <rPh sb="3" eb="6">
      <t>こそ</t>
    </rPh>
    <rPh sb="7" eb="11">
      <t>しえんき</t>
    </rPh>
    <phoneticPr fontId="20" type="Hiragana"/>
  </si>
  <si>
    <t>（</t>
  </si>
  <si>
    <t>料率</t>
    <rPh sb="0" eb="2">
      <t>りょうりつ</t>
    </rPh>
    <phoneticPr fontId="20" type="Hiragana"/>
  </si>
  <si>
    <t>【給与収入】</t>
    <rPh sb="1" eb="5">
      <t>きゅうよ</t>
    </rPh>
    <phoneticPr fontId="20" type="Hiragana"/>
  </si>
  <si>
    <t>１８歳未満</t>
    <rPh sb="2" eb="5">
      <t>さいみまん</t>
    </rPh>
    <phoneticPr fontId="20" type="Hiragana"/>
  </si>
  <si>
    <t>介護保険料賦課（開始）</t>
    <rPh sb="0" eb="5">
      <t>かいごほ</t>
    </rPh>
    <rPh sb="5" eb="7">
      <t>ふか</t>
    </rPh>
    <rPh sb="8" eb="10">
      <t>かいし</t>
    </rPh>
    <phoneticPr fontId="20" type="Hiragana"/>
  </si>
  <si>
    <t>介護保険料賦課（継続）</t>
    <rPh sb="0" eb="5">
      <t>かいごほ</t>
    </rPh>
    <rPh sb="5" eb="7">
      <t>ふか</t>
    </rPh>
    <rPh sb="8" eb="10">
      <t>けいぞく</t>
    </rPh>
    <phoneticPr fontId="20" type="Hiragana"/>
  </si>
  <si>
    <t>介護保険料賦課（終了）</t>
    <rPh sb="0" eb="5">
      <t>かいごほ</t>
    </rPh>
    <rPh sb="5" eb="7">
      <t>ふか</t>
    </rPh>
    <rPh sb="8" eb="10">
      <t>しゅうりょう</t>
    </rPh>
    <phoneticPr fontId="20" type="Hiragana"/>
  </si>
  <si>
    <t>未就学児均等割軽減額</t>
    <rPh sb="0" eb="7">
      <t>みしゅうがくじきんとうわり</t>
    </rPh>
    <rPh sb="7" eb="9">
      <t>けいげん</t>
    </rPh>
    <rPh sb="9" eb="10">
      <t>がく</t>
    </rPh>
    <phoneticPr fontId="20" type="Hiragana"/>
  </si>
  <si>
    <t>後期移行</t>
    <rPh sb="0" eb="2">
      <t>こうき</t>
    </rPh>
    <rPh sb="2" eb="4">
      <t>いこう</t>
    </rPh>
    <phoneticPr fontId="20" type="Hiragana"/>
  </si>
  <si>
    <t>６５歳未満</t>
    <rPh sb="2" eb="5">
      <t>さいみまん</t>
    </rPh>
    <phoneticPr fontId="20" type="Hiragana"/>
  </si>
  <si>
    <t>６５歳以上</t>
    <rPh sb="2" eb="5">
      <t>さいいじょう</t>
    </rPh>
    <phoneticPr fontId="20" type="Hiragana"/>
  </si>
  <si>
    <t>所得金額</t>
    <rPh sb="0" eb="4">
      <t>しょとく</t>
    </rPh>
    <phoneticPr fontId="20" type="Hiragana"/>
  </si>
  <si>
    <t>任意１</t>
    <rPh sb="0" eb="2">
      <t>にんい</t>
    </rPh>
    <phoneticPr fontId="20" type="Hiragana"/>
  </si>
  <si>
    <t>任意２</t>
    <rPh sb="0" eb="2">
      <t>にんい</t>
    </rPh>
    <phoneticPr fontId="20" type="Hiragana"/>
  </si>
  <si>
    <t>任意３</t>
    <rPh sb="0" eb="2">
      <t>にんい</t>
    </rPh>
    <phoneticPr fontId="20" type="Hiragana"/>
  </si>
  <si>
    <t>任意４</t>
    <rPh sb="0" eb="2">
      <t>にんい</t>
    </rPh>
    <phoneticPr fontId="20" type="Hiragana"/>
  </si>
  <si>
    <t>任意５</t>
    <rPh sb="0" eb="2">
      <t>にんい</t>
    </rPh>
    <phoneticPr fontId="20" type="Hiragana"/>
  </si>
  <si>
    <t>⑵法定軽減額</t>
    <rPh sb="1" eb="6">
      <t>ほうていけ</t>
    </rPh>
    <phoneticPr fontId="20" type="Hiragana"/>
  </si>
  <si>
    <t>任意６</t>
    <rPh sb="0" eb="2">
      <t>にんい</t>
    </rPh>
    <phoneticPr fontId="20" type="Hiragana"/>
  </si>
  <si>
    <t>(</t>
  </si>
  <si>
    <t>任意７</t>
    <rPh sb="0" eb="2">
      <t>にんい</t>
    </rPh>
    <phoneticPr fontId="20" type="Hiragana"/>
  </si>
  <si>
    <t>任意８</t>
    <rPh sb="0" eb="2">
      <t>にんい</t>
    </rPh>
    <phoneticPr fontId="20" type="Hiragana"/>
  </si>
  <si>
    <t>A－650,000</t>
  </si>
  <si>
    <t>介護誤入力</t>
    <rPh sb="0" eb="2">
      <t>かいご</t>
    </rPh>
    <rPh sb="2" eb="3">
      <t>ご</t>
    </rPh>
    <rPh sb="3" eb="5">
      <t>にゅうりょく</t>
    </rPh>
    <phoneticPr fontId="20" type="Hiragana"/>
  </si>
  <si>
    <t>A*0.9-1,100,000</t>
  </si>
  <si>
    <t>A-1,950,000</t>
  </si>
  <si>
    <t>⑷１８歳未満軽減額</t>
    <rPh sb="3" eb="4">
      <t>とし</t>
    </rPh>
    <rPh sb="4" eb="6">
      <t>みまん</t>
    </rPh>
    <rPh sb="6" eb="8">
      <t>けいげん</t>
    </rPh>
    <rPh sb="8" eb="9">
      <t>がく</t>
    </rPh>
    <phoneticPr fontId="20" type="Hiragana"/>
  </si>
  <si>
    <t>給与所得控除後の金額</t>
    <rPh sb="0" eb="4">
      <t>きゅうよ</t>
    </rPh>
    <rPh sb="4" eb="10">
      <t>こうじょご</t>
    </rPh>
    <phoneticPr fontId="20" type="Hiragana"/>
  </si>
  <si>
    <t>２割軽減</t>
    <rPh sb="1" eb="4">
      <t>わりけ</t>
    </rPh>
    <phoneticPr fontId="20" type="Hiragana"/>
  </si>
  <si>
    <t>給与収入（A）以上・以下</t>
    <rPh sb="0" eb="4">
      <t>きゅうよ</t>
    </rPh>
    <rPh sb="7" eb="9">
      <t>いじょう</t>
    </rPh>
    <rPh sb="10" eb="12">
      <t>いか</t>
    </rPh>
    <phoneticPr fontId="20" type="Hiragana"/>
  </si>
  <si>
    <t>G</t>
  </si>
  <si>
    <t>医・後・子</t>
    <rPh sb="0" eb="1">
      <t>い</t>
    </rPh>
    <rPh sb="2" eb="3">
      <t>あと</t>
    </rPh>
    <rPh sb="4" eb="5">
      <t>こ</t>
    </rPh>
    <phoneticPr fontId="20" type="Hiragana"/>
  </si>
  <si>
    <t>所得金額調整控除額</t>
    <rPh sb="0" eb="2">
      <t>ショトク</t>
    </rPh>
    <rPh sb="2" eb="4">
      <t>キンガク</t>
    </rPh>
    <rPh sb="4" eb="6">
      <t>チョウセイ</t>
    </rPh>
    <rPh sb="6" eb="8">
      <t>コウジョ</t>
    </rPh>
    <rPh sb="8" eb="9">
      <t>ガク</t>
    </rPh>
    <phoneticPr fontId="46"/>
  </si>
  <si>
    <t>子均等割半額</t>
    <rPh sb="0" eb="1">
      <t>こ</t>
    </rPh>
    <rPh sb="1" eb="4">
      <t>きんとうわ</t>
    </rPh>
    <rPh sb="4" eb="6">
      <t>はんがく</t>
    </rPh>
    <phoneticPr fontId="20" type="Hiragana"/>
  </si>
  <si>
    <t>年金以外の所得</t>
    <rPh sb="0" eb="7">
      <t>ねんきんいが</t>
    </rPh>
    <phoneticPr fontId="20" type="Hiragana"/>
  </si>
  <si>
    <t>判定（優先順位）</t>
    <rPh sb="0" eb="2">
      <t>はんてい</t>
    </rPh>
    <rPh sb="3" eb="7">
      <t>ゆうせん</t>
    </rPh>
    <phoneticPr fontId="20" type="Hiragana"/>
  </si>
  <si>
    <t>以上</t>
    <rPh sb="0" eb="2">
      <t>いじょう</t>
    </rPh>
    <phoneticPr fontId="20" type="Hiragana"/>
  </si>
  <si>
    <t>子子（計算１）</t>
    <rPh sb="0" eb="1">
      <t>コ</t>
    </rPh>
    <rPh sb="1" eb="2">
      <t>コ</t>
    </rPh>
    <rPh sb="3" eb="6">
      <t>ケイサ</t>
    </rPh>
    <phoneticPr fontId="46"/>
  </si>
  <si>
    <t>以下</t>
    <rPh sb="0" eb="2">
      <t>いか</t>
    </rPh>
    <phoneticPr fontId="20" type="Hiragana"/>
  </si>
  <si>
    <t>①試算</t>
    <rPh sb="1" eb="3">
      <t>しさん</t>
    </rPh>
    <phoneticPr fontId="20" type="Hiragana"/>
  </si>
  <si>
    <t>収入金額</t>
    <rPh sb="0" eb="4">
      <t>しゅうに</t>
    </rPh>
    <phoneticPr fontId="20" type="Hiragana"/>
  </si>
  <si>
    <t>　※住民税の総合課税分のほか、分離課税分の所得を含みます。</t>
    <rPh sb="2" eb="5">
      <t>じゅうみんぜい</t>
    </rPh>
    <rPh sb="6" eb="14">
      <t>そう</t>
    </rPh>
    <rPh sb="15" eb="17">
      <t>ぶんり</t>
    </rPh>
    <rPh sb="17" eb="24">
      <t>かぜいぶん</t>
    </rPh>
    <rPh sb="24" eb="25">
      <t>ふく</t>
    </rPh>
    <phoneticPr fontId="20" type="Hiragana"/>
  </si>
  <si>
    <t>【所得金額調整控除額①】</t>
  </si>
  <si>
    <t>合計所得</t>
    <rPh sb="0" eb="4">
      <t>ごうけ</t>
    </rPh>
    <phoneticPr fontId="20" type="Hiragana"/>
  </si>
  <si>
    <t>給与所得金額</t>
    <rPh sb="0" eb="4">
      <t>きゅうよ</t>
    </rPh>
    <rPh sb="4" eb="6">
      <t>きんがく</t>
    </rPh>
    <phoneticPr fontId="20" type="Hiragana"/>
  </si>
  <si>
    <t>年金所得金額</t>
    <rPh sb="0" eb="4">
      <t>ねんきん</t>
    </rPh>
    <rPh sb="4" eb="6">
      <t>きんがく</t>
    </rPh>
    <phoneticPr fontId="20" type="Hiragana"/>
  </si>
  <si>
    <t>Ⓒ（加入者１～８の所得金額は試算シートより引用）</t>
    <rPh sb="2" eb="5">
      <t>かにゅうしゃ</t>
    </rPh>
    <rPh sb="9" eb="14">
      <t>しょとくき</t>
    </rPh>
    <rPh sb="14" eb="16">
      <t>しさん</t>
    </rPh>
    <rPh sb="21" eb="23">
      <t>いんよう</t>
    </rPh>
    <phoneticPr fontId="20" type="Hiragana"/>
  </si>
  <si>
    <t>日</t>
    <rPh sb="0" eb="1">
      <t>ひ</t>
    </rPh>
    <phoneticPr fontId="20" type="Hiragana"/>
  </si>
  <si>
    <t>軽減率</t>
    <rPh sb="0" eb="3">
      <t>けいげ</t>
    </rPh>
    <phoneticPr fontId="20" type="Hiragana"/>
  </si>
  <si>
    <t>所得金額調整控除額①（※１）</t>
    <rPh sb="8" eb="9">
      <t>がく</t>
    </rPh>
    <phoneticPr fontId="20" type="Hiragana"/>
  </si>
  <si>
    <t>給与
所得者等</t>
    <rPh sb="3" eb="7">
      <t>しょとく</t>
    </rPh>
    <phoneticPr fontId="20" type="Hiragana"/>
  </si>
  <si>
    <t>所得金額調整控除額②（※２）</t>
    <rPh sb="8" eb="9">
      <t>がく</t>
    </rPh>
    <phoneticPr fontId="20" type="Hiragana"/>
  </si>
  <si>
    <t>項目</t>
    <rPh sb="0" eb="2">
      <t>こうもく</t>
    </rPh>
    <phoneticPr fontId="20" type="Hiragana"/>
  </si>
  <si>
    <t>判定B</t>
    <rPh sb="0" eb="2">
      <t>はんてい</t>
    </rPh>
    <phoneticPr fontId="20" type="Hiragana"/>
  </si>
  <si>
    <t>旧国：５～８年目</t>
    <rPh sb="0" eb="2">
      <t>きゅ</t>
    </rPh>
    <rPh sb="6" eb="7">
      <t>とし</t>
    </rPh>
    <rPh sb="7" eb="8">
      <t>め</t>
    </rPh>
    <phoneticPr fontId="20" type="Hiragana"/>
  </si>
  <si>
    <t>【所得金額調整控除額②】</t>
  </si>
  <si>
    <t>年度途中で４０歳到達する加入者がいるため、
このシートでは試算できません。</t>
    <rPh sb="8" eb="10">
      <t>とうたつ</t>
    </rPh>
    <rPh sb="29" eb="31">
      <t>しさん</t>
    </rPh>
    <phoneticPr fontId="20" type="Hiragana"/>
  </si>
  <si>
    <t>加入者８</t>
    <rPh sb="0" eb="3">
      <t>かにゅうしゃ</t>
    </rPh>
    <phoneticPr fontId="20" type="Hiragana"/>
  </si>
  <si>
    <t>B</t>
  </si>
  <si>
    <t>※前回試算時の消忘れに注意。必ずセルが白色になっていることを確認してから試算入力を始めてください。</t>
    <rPh sb="1" eb="3">
      <t>ぜんかい</t>
    </rPh>
    <rPh sb="3" eb="5">
      <t>しさん</t>
    </rPh>
    <rPh sb="5" eb="6">
      <t>じ</t>
    </rPh>
    <rPh sb="7" eb="8">
      <t>け</t>
    </rPh>
    <rPh sb="8" eb="9">
      <t>わす</t>
    </rPh>
    <rPh sb="11" eb="13">
      <t>ちゅ</t>
    </rPh>
    <rPh sb="14" eb="15">
      <t>かなら</t>
    </rPh>
    <rPh sb="19" eb="21">
      <t>しろいろ</t>
    </rPh>
    <rPh sb="30" eb="32">
      <t>かくにん</t>
    </rPh>
    <rPh sb="36" eb="40">
      <t>しさんに</t>
    </rPh>
    <rPh sb="41" eb="42">
      <t>はじ</t>
    </rPh>
    <phoneticPr fontId="20" type="Hiragana"/>
  </si>
  <si>
    <t>D</t>
  </si>
  <si>
    <t>保険料期間</t>
    <rPh sb="0" eb="3">
      <t>ほけんりょう</t>
    </rPh>
    <rPh sb="3" eb="5">
      <t>きかん</t>
    </rPh>
    <phoneticPr fontId="20" type="Hiragana"/>
  </si>
  <si>
    <t>F</t>
  </si>
  <si>
    <t>I</t>
  </si>
  <si>
    <t>J</t>
  </si>
  <si>
    <t>・給与・年金以外の総所得金額
（営業、農業等の事業所得、不動産所得、配当所得、一時所得など）
・山林所得金額
・長期及び短期譲渡所得金額（特別控除後）
・土地等に係る事業所得等の金額
・株式等に係る譲渡所得等の金額
・先物取引に係る雑所得等の金額</t>
    <rPh sb="1" eb="3">
      <t>きゅうよ</t>
    </rPh>
    <rPh sb="4" eb="9">
      <t>ねんきんい</t>
    </rPh>
    <rPh sb="9" eb="12">
      <t>そうしょとく</t>
    </rPh>
    <rPh sb="12" eb="14">
      <t>きんがく</t>
    </rPh>
    <rPh sb="41" eb="43">
      <t>しょとく</t>
    </rPh>
    <phoneticPr fontId="20" type="Hiragana"/>
  </si>
  <si>
    <t>判定A</t>
    <rPh sb="0" eb="2">
      <t>はんてい</t>
    </rPh>
    <phoneticPr fontId="20" type="Hiragana"/>
  </si>
  <si>
    <t>判定C</t>
    <rPh sb="0" eb="2">
      <t>はんてい</t>
    </rPh>
    <phoneticPr fontId="20" type="Hiragana"/>
  </si>
  <si>
    <t>介護未入力</t>
    <rPh sb="0" eb="2">
      <t>かいご</t>
    </rPh>
    <rPh sb="2" eb="5">
      <t>みにゅうりょく</t>
    </rPh>
    <phoneticPr fontId="20" type="Hiragana"/>
  </si>
  <si>
    <t>介護入力</t>
    <rPh sb="0" eb="2">
      <t>かいご</t>
    </rPh>
    <rPh sb="2" eb="4">
      <t>にゅうりょく</t>
    </rPh>
    <phoneticPr fontId="20" type="Hiragana"/>
  </si>
  <si>
    <t>所得金額調整控除②（※２）</t>
  </si>
  <si>
    <t>年金所得（最高１０万円）</t>
    <rPh sb="0" eb="2">
      <t>ネンキン</t>
    </rPh>
    <rPh sb="2" eb="4">
      <t>ショトク</t>
    </rPh>
    <rPh sb="5" eb="7">
      <t>サイコウ</t>
    </rPh>
    <rPh sb="9" eb="11">
      <t>マンエン</t>
    </rPh>
    <phoneticPr fontId="46"/>
  </si>
  <si>
    <t>8桁変換</t>
    <rPh sb="1" eb="2">
      <t>けた</t>
    </rPh>
    <rPh sb="2" eb="4">
      <t>へんかん</t>
    </rPh>
    <phoneticPr fontId="20" type="Hiragana"/>
  </si>
  <si>
    <t>【編集者】入力シート</t>
  </si>
  <si>
    <t>B　総所得金額等</t>
    <rPh sb="2" eb="8">
      <t>そうしょとく</t>
    </rPh>
    <phoneticPr fontId="20" type="Hiragana"/>
  </si>
  <si>
    <t>＊年度切り替え時に赤枠内を入力。</t>
    <rPh sb="1" eb="4">
      <t>ねんどき</t>
    </rPh>
    <rPh sb="5" eb="6">
      <t>か</t>
    </rPh>
    <rPh sb="9" eb="13">
      <t>あかわく</t>
    </rPh>
    <rPh sb="13" eb="15">
      <t>にゅうりょく</t>
    </rPh>
    <phoneticPr fontId="20" type="Hiragana"/>
  </si>
  <si>
    <t>【確認メッセージ】</t>
  </si>
  <si>
    <t>＊制度改正が無ければ編集不要（料率変更は入力シートで対応）。</t>
    <rPh sb="1" eb="5">
      <t>せいど</t>
    </rPh>
    <rPh sb="6" eb="7">
      <t>な</t>
    </rPh>
    <rPh sb="10" eb="14">
      <t>へんしゅ</t>
    </rPh>
    <rPh sb="15" eb="17">
      <t>りょうりつ</t>
    </rPh>
    <rPh sb="17" eb="19">
      <t>へんこう</t>
    </rPh>
    <rPh sb="20" eb="22">
      <t>にゅうりょく</t>
    </rPh>
    <phoneticPr fontId="20" type="Hiragana"/>
  </si>
  <si>
    <t>①基本項目</t>
  </si>
  <si>
    <t>②軽減判定</t>
    <rPh sb="1" eb="5">
      <t>けいげ</t>
    </rPh>
    <phoneticPr fontId="20" type="Hiragana"/>
  </si>
  <si>
    <t>内のⒶ擬主情報　Ⓑ軽減判定対象　Ⓒ軽減判定被保険者情報を入力してください。</t>
  </si>
  <si>
    <t>④エラー・確認メッセージ</t>
    <rPh sb="5" eb="7">
      <t>かくにん</t>
    </rPh>
    <phoneticPr fontId="20" type="Hiragana"/>
  </si>
  <si>
    <t>判定結果</t>
    <rPh sb="0" eb="2">
      <t>はんてい</t>
    </rPh>
    <rPh sb="2" eb="4">
      <t>けっか</t>
    </rPh>
    <phoneticPr fontId="20" type="Hiragana"/>
  </si>
  <si>
    <t>合計
⑴-⑵-⑶-⑷</t>
    <rPh sb="0" eb="2">
      <t>ごうけい</t>
    </rPh>
    <phoneticPr fontId="20" type="Hiragana"/>
  </si>
  <si>
    <t>加入状況</t>
    <rPh sb="0" eb="4">
      <t>かにゅう</t>
    </rPh>
    <phoneticPr fontId="20" type="Hiragana"/>
  </si>
  <si>
    <t>加入者４</t>
    <rPh sb="0" eb="3">
      <t>かにゅうしゃ</t>
    </rPh>
    <phoneticPr fontId="20" type="Hiragana"/>
  </si>
  <si>
    <t>３月</t>
  </si>
  <si>
    <t>年度途中で７５歳到達する加入者がいるため、
このシートでは試算できません。</t>
    <rPh sb="8" eb="10">
      <t>とうたつ</t>
    </rPh>
    <rPh sb="29" eb="31">
      <t>しさん</t>
    </rPh>
    <phoneticPr fontId="20" type="Hiragana"/>
  </si>
  <si>
    <t>旧国（１/２）</t>
    <rPh sb="0" eb="1">
      <t>きゅう</t>
    </rPh>
    <rPh sb="1" eb="2">
      <t>くに</t>
    </rPh>
    <phoneticPr fontId="20" type="Hiragana"/>
  </si>
  <si>
    <t>旧国（１/４）</t>
    <rPh sb="0" eb="1">
      <t>きゅう</t>
    </rPh>
    <rPh sb="1" eb="2">
      <t>くに</t>
    </rPh>
    <phoneticPr fontId="20" type="Hiragana"/>
  </si>
  <si>
    <t>加入者５</t>
  </si>
  <si>
    <t>旧国：０～４年目</t>
    <rPh sb="0" eb="2">
      <t>きゅ</t>
    </rPh>
    <rPh sb="6" eb="7">
      <t>とし</t>
    </rPh>
    <rPh sb="7" eb="8">
      <t>め</t>
    </rPh>
    <phoneticPr fontId="20" type="Hiragana"/>
  </si>
  <si>
    <t>＊自動計算</t>
    <rPh sb="1" eb="5">
      <t>じど</t>
    </rPh>
    <phoneticPr fontId="20" type="Hiragana"/>
  </si>
  <si>
    <t>対象者年金以外所得</t>
    <rPh sb="0" eb="3">
      <t>たいしょうしゃ</t>
    </rPh>
    <rPh sb="3" eb="9">
      <t>ねんきんいが</t>
    </rPh>
    <phoneticPr fontId="20" type="Hiragana"/>
  </si>
  <si>
    <t>判定１</t>
  </si>
  <si>
    <t>判定１計算用</t>
    <rPh sb="0" eb="3">
      <t>はんて</t>
    </rPh>
    <rPh sb="3" eb="6">
      <t>けいさんよう</t>
    </rPh>
    <phoneticPr fontId="20" type="Hiragana"/>
  </si>
  <si>
    <t>年齢正誤</t>
    <rPh sb="0" eb="2">
      <t>ねんれい</t>
    </rPh>
    <rPh sb="2" eb="4">
      <t>せいご</t>
    </rPh>
    <phoneticPr fontId="20" type="Hiragana"/>
  </si>
  <si>
    <t>年度途中で６５歳到達する加入者がいるため、
このシートでは試算できません。</t>
    <rPh sb="8" eb="10">
      <t>とうたつ</t>
    </rPh>
    <rPh sb="29" eb="31">
      <t>しさん</t>
    </rPh>
    <phoneticPr fontId="20" type="Hiragana"/>
  </si>
  <si>
    <t>国保未加入の世帯主</t>
    <rPh sb="0" eb="6">
      <t>こくほみかに</t>
    </rPh>
    <rPh sb="6" eb="9">
      <t>せたいぬし</t>
    </rPh>
    <phoneticPr fontId="20" type="Hiragana"/>
  </si>
  <si>
    <t>全加入者</t>
    <rPh sb="0" eb="1">
      <t>ぜん</t>
    </rPh>
    <rPh sb="1" eb="4">
      <t>かにゅうしゃ</t>
    </rPh>
    <phoneticPr fontId="20" type="Hiragana"/>
  </si>
  <si>
    <t>生年月日変換</t>
    <rPh sb="0" eb="4">
      <t>せいねん</t>
    </rPh>
    <rPh sb="4" eb="6">
      <t>へんかん</t>
    </rPh>
    <phoneticPr fontId="20" type="Hiragana"/>
  </si>
  <si>
    <t>西暦</t>
    <rPh sb="0" eb="2">
      <t>せいれき</t>
    </rPh>
    <phoneticPr fontId="20" type="Hiragana"/>
  </si>
  <si>
    <t>限度超過額</t>
    <rPh sb="0" eb="2">
      <t>げんど</t>
    </rPh>
    <rPh sb="2" eb="5">
      <t>ちょうかがく</t>
    </rPh>
    <phoneticPr fontId="20" type="Hiragana"/>
  </si>
  <si>
    <t>所得金額調整控除額</t>
  </si>
  <si>
    <t>《D　給与所得者等》</t>
    <rPh sb="3" eb="9">
      <t>きゅうよしょ</t>
    </rPh>
    <phoneticPr fontId="20" type="Hiragana"/>
  </si>
  <si>
    <t>判定１</t>
    <rPh sb="0" eb="2">
      <t>はんてい</t>
    </rPh>
    <phoneticPr fontId="20" type="Hiragana"/>
  </si>
  <si>
    <t>判定２</t>
    <rPh sb="0" eb="2">
      <t>はんてい</t>
    </rPh>
    <phoneticPr fontId="20" type="Hiragana"/>
  </si>
  <si>
    <t>対象者
（年齢区分）</t>
    <rPh sb="0" eb="3">
      <t>たいしょうしゃ</t>
    </rPh>
    <rPh sb="5" eb="9">
      <t>ねんれい</t>
    </rPh>
    <phoneticPr fontId="20" type="Hiragana"/>
  </si>
  <si>
    <t>特定同一世帯
所属者（員）１</t>
    <rPh sb="0" eb="6">
      <t>とくていどういつせたい</t>
    </rPh>
    <rPh sb="7" eb="10">
      <t>しょぞくしゃ</t>
    </rPh>
    <rPh sb="11" eb="12">
      <t>いん</t>
    </rPh>
    <phoneticPr fontId="20" type="Hiragana"/>
  </si>
  <si>
    <t>特定同一世帯
所属者（員）２</t>
    <rPh sb="0" eb="6">
      <t>とくていどういつせたい</t>
    </rPh>
    <rPh sb="7" eb="10">
      <t>しょぞくしゃ</t>
    </rPh>
    <rPh sb="11" eb="12">
      <t>いん</t>
    </rPh>
    <phoneticPr fontId="20" type="Hiragana"/>
  </si>
  <si>
    <t>年度　保険料試算シート</t>
    <rPh sb="0" eb="2">
      <t>ねんど</t>
    </rPh>
    <rPh sb="3" eb="8">
      <t>ほけんりょう</t>
    </rPh>
    <phoneticPr fontId="20" type="Hiragana"/>
  </si>
  <si>
    <t>特定同一世帯
所属者（員）３</t>
    <rPh sb="0" eb="6">
      <t>とくていどういつせたい</t>
    </rPh>
    <rPh sb="7" eb="10">
      <t>しょぞくしゃ</t>
    </rPh>
    <rPh sb="11" eb="12">
      <t>いん</t>
    </rPh>
    <phoneticPr fontId="20" type="Hiragana"/>
  </si>
  <si>
    <t>②保険料率（CIVION　賦課「41.国保料率登録」より）</t>
    <rPh sb="1" eb="4">
      <t>ほけんりょう</t>
    </rPh>
    <rPh sb="4" eb="5">
      <t>りつ</t>
    </rPh>
    <rPh sb="13" eb="15">
      <t>ふか</t>
    </rPh>
    <rPh sb="19" eb="23">
      <t>こくほり</t>
    </rPh>
    <rPh sb="23" eb="25">
      <t>とうろく</t>
    </rPh>
    <phoneticPr fontId="20" type="Hiragana"/>
  </si>
  <si>
    <t>特定同一世帯
所属者（員）４</t>
    <rPh sb="0" eb="6">
      <t>とくていどういつせたい</t>
    </rPh>
    <rPh sb="7" eb="10">
      <t>しょぞくしゃ</t>
    </rPh>
    <rPh sb="11" eb="12">
      <t>いん</t>
    </rPh>
    <phoneticPr fontId="20" type="Hiragana"/>
  </si>
  <si>
    <t>平等割
（旧国・１/４）</t>
    <rPh sb="0" eb="2">
      <t>びょうどう</t>
    </rPh>
    <rPh sb="2" eb="3">
      <t>わり</t>
    </rPh>
    <rPh sb="5" eb="7">
      <t>きゅ</t>
    </rPh>
    <phoneticPr fontId="20" type="Hiragana"/>
  </si>
  <si>
    <t>判定２（年齢）</t>
    <rPh sb="0" eb="2">
      <t>はんてい</t>
    </rPh>
    <rPh sb="4" eb="6">
      <t>ねんれい</t>
    </rPh>
    <phoneticPr fontId="20" type="Hiragana"/>
  </si>
  <si>
    <t>給与所得（最高１０万円）</t>
    <rPh sb="0" eb="2">
      <t>キュウヨ</t>
    </rPh>
    <rPh sb="2" eb="4">
      <t>ショトク</t>
    </rPh>
    <rPh sb="5" eb="7">
      <t>サイコウ</t>
    </rPh>
    <rPh sb="9" eb="11">
      <t>マンエン</t>
    </rPh>
    <phoneticPr fontId="46"/>
  </si>
  <si>
    <t>判定式</t>
    <rPh sb="0" eb="3">
      <t>はんて</t>
    </rPh>
    <phoneticPr fontId="20" type="Hiragana"/>
  </si>
  <si>
    <t>加
入</t>
    <rPh sb="0" eb="1">
      <t>か</t>
    </rPh>
    <rPh sb="2" eb="3">
      <t>いり</t>
    </rPh>
    <phoneticPr fontId="20" type="Hiragana"/>
  </si>
  <si>
    <t>（開始月～終了月）</t>
    <rPh sb="1" eb="3">
      <t>かいし</t>
    </rPh>
    <rPh sb="3" eb="4">
      <t>つき</t>
    </rPh>
    <rPh sb="5" eb="7">
      <t>しゅうりょう</t>
    </rPh>
    <rPh sb="7" eb="8">
      <t>つき</t>
    </rPh>
    <phoneticPr fontId="20" type="Hiragana"/>
  </si>
  <si>
    <t>所得割
基礎額</t>
    <rPh sb="0" eb="3">
      <t>しょと</t>
    </rPh>
    <rPh sb="4" eb="7">
      <t>きそが</t>
    </rPh>
    <phoneticPr fontId="20" type="Hiragana"/>
  </si>
  <si>
    <t>翌
１月</t>
    <rPh sb="0" eb="1">
      <t>よく</t>
    </rPh>
    <phoneticPr fontId="20" type="Hiragana"/>
  </si>
  <si>
    <t>翌
２月</t>
    <rPh sb="0" eb="1">
      <t>よく</t>
    </rPh>
    <phoneticPr fontId="20" type="Hiragana"/>
  </si>
  <si>
    <t>翌
３月</t>
    <rPh sb="0" eb="1">
      <t>よく</t>
    </rPh>
    <phoneticPr fontId="20" type="Hiragana"/>
  </si>
  <si>
    <t>　　③長期および短期譲渡所得金額（特別控除後）</t>
    <rPh sb="3" eb="5">
      <t>ちょうき</t>
    </rPh>
    <rPh sb="8" eb="12">
      <t>た</t>
    </rPh>
    <rPh sb="12" eb="16">
      <t>しょとく</t>
    </rPh>
    <rPh sb="17" eb="22">
      <t>とくべつ</t>
    </rPh>
    <phoneticPr fontId="20" type="Hiragana"/>
  </si>
  <si>
    <t>△</t>
  </si>
  <si>
    <r>
      <t>○軽減判定被保険者</t>
    </r>
    <r>
      <rPr>
        <sz val="9"/>
        <color indexed="8"/>
        <rFont val="ＭＳ Ｐゴシック"/>
      </rPr>
      <t xml:space="preserve">
　４／１時点の加入者状況で軽減判定を行う。年度途中で加入の場合は、記番取得時点の加入者状況で加入年度の判定を行う。
　※前年度３／３１まで国保で４/１以降社保加入者は、軽減判定に含まれることに注意
　　（法令上４／２社保加入になるため）。
</t>
    </r>
    <r>
      <rPr>
        <u/>
        <sz val="9"/>
        <color indexed="8"/>
        <rFont val="ＭＳ Ｐゴシック"/>
      </rPr>
      <t>○年金所得者（６５歳以上）</t>
    </r>
    <r>
      <rPr>
        <sz val="9"/>
        <color indexed="8"/>
        <rFont val="ＭＳ Ｐゴシック"/>
      </rPr>
      <t xml:space="preserve">
　年金所得から最大１５万円を控除。　
　※年金所得１５万円未満の場合は年金所得分を控除。
</t>
    </r>
    <r>
      <rPr>
        <u/>
        <sz val="9"/>
        <color indexed="8"/>
        <rFont val="ＭＳ Ｐゴシック"/>
      </rPr>
      <t xml:space="preserve">○給与所得者等
</t>
    </r>
    <r>
      <rPr>
        <sz val="9"/>
        <color indexed="8"/>
        <rFont val="ＭＳ Ｐゴシック"/>
      </rPr>
      <t xml:space="preserve">　給与所得者等給与収入５５万円超、または公的年金収入金額１２５万円超（６５歳未満の場合は６０万円超）の者。擬主含む。
</t>
    </r>
    <r>
      <rPr>
        <u/>
        <sz val="9"/>
        <color indexed="8"/>
        <rFont val="ＭＳ Ｐゴシック"/>
      </rPr>
      <t>○特定同一世帯所属者</t>
    </r>
    <r>
      <rPr>
        <sz val="9"/>
        <color indexed="8"/>
        <rFont val="ＭＳ Ｐゴシック"/>
      </rPr>
      <t xml:space="preserve">
　後期加入により国保資格を喪失し、以降も継続して同一世帯に属する者。</t>
    </r>
    <rPh sb="70" eb="73">
      <t>ぜんねんど</t>
    </rPh>
    <rPh sb="79" eb="81">
      <t>こくほ</t>
    </rPh>
    <rPh sb="85" eb="87">
      <t>いこう</t>
    </rPh>
    <rPh sb="87" eb="92">
      <t>しゃほかに</t>
    </rPh>
    <rPh sb="94" eb="99">
      <t>けいげん</t>
    </rPh>
    <rPh sb="99" eb="100">
      <t>ふく</t>
    </rPh>
    <rPh sb="106" eb="108">
      <t>ち</t>
    </rPh>
    <rPh sb="112" eb="115">
      <t>ほうれいじょう</t>
    </rPh>
    <rPh sb="118" eb="122">
      <t>しゃほか</t>
    </rPh>
    <rPh sb="132" eb="136">
      <t>ねんきん</t>
    </rPh>
    <rPh sb="136" eb="137">
      <t>しゃ</t>
    </rPh>
    <rPh sb="146" eb="150">
      <t>ねんきん</t>
    </rPh>
    <rPh sb="152" eb="156">
      <t>さいだ</t>
    </rPh>
    <rPh sb="156" eb="158">
      <t>まんえん</t>
    </rPh>
    <rPh sb="159" eb="161">
      <t>こうじょ</t>
    </rPh>
    <rPh sb="166" eb="170">
      <t>ねんきん</t>
    </rPh>
    <rPh sb="172" eb="174">
      <t>まんえん</t>
    </rPh>
    <rPh sb="174" eb="176">
      <t>みまん</t>
    </rPh>
    <rPh sb="177" eb="179">
      <t>ばあい</t>
    </rPh>
    <rPh sb="180" eb="184">
      <t>ねんきん</t>
    </rPh>
    <rPh sb="184" eb="185">
      <t>ふん</t>
    </rPh>
    <rPh sb="186" eb="188">
      <t>こうじょ</t>
    </rPh>
    <rPh sb="192" eb="198">
      <t>きゅうよしょ</t>
    </rPh>
    <rPh sb="236" eb="239">
      <t>さいみまん</t>
    </rPh>
    <rPh sb="240" eb="242">
      <t>ばあい</t>
    </rPh>
    <rPh sb="250" eb="251">
      <t>も</t>
    </rPh>
    <rPh sb="252" eb="254">
      <t>ぎ</t>
    </rPh>
    <rPh sb="254" eb="255">
      <t>ふく</t>
    </rPh>
    <rPh sb="266" eb="269">
      <t>しょぞ</t>
    </rPh>
    <rPh sb="273" eb="275">
      <t>かにゅう</t>
    </rPh>
    <rPh sb="302" eb="303">
      <t>もの</t>
    </rPh>
    <phoneticPr fontId="20" type="Hiragana"/>
  </si>
  <si>
    <t>給与所得者</t>
    <rPh sb="0" eb="5">
      <t>きゅうよし</t>
    </rPh>
    <phoneticPr fontId="20" type="Hiragana"/>
  </si>
  <si>
    <t>○このシートは、次の場合の保険料試算には対応していません。
　・年度途中で４０歳・６５歳・７５歳に到達する加入者がいる場合。
　・年度途中で加入者数の増減がある場合。
　・加入者及び世帯主に専従者控除または専従者給与所得がある場合。
○後期高齢者医療制度加入に伴う激変緩和措置には対応していません。</t>
    <rPh sb="16" eb="18">
      <t>しさん</t>
    </rPh>
    <rPh sb="53" eb="56">
      <t>かにゅうしゃ</t>
    </rPh>
    <rPh sb="59" eb="61">
      <t>ばあい</t>
    </rPh>
    <rPh sb="86" eb="89">
      <t>かにゅうしゃ</t>
    </rPh>
    <rPh sb="89" eb="90">
      <t>およ</t>
    </rPh>
    <rPh sb="91" eb="94">
      <t>せたいぬし</t>
    </rPh>
    <rPh sb="108" eb="110">
      <t>しょとく</t>
    </rPh>
    <rPh sb="118" eb="132">
      <t>こうきこうれいしゃいりょうせ</t>
    </rPh>
    <rPh sb="132" eb="138">
      <t>げきへんか</t>
    </rPh>
    <rPh sb="140" eb="142">
      <t>たいおう</t>
    </rPh>
    <phoneticPr fontId="20" type="Hiragana"/>
  </si>
  <si>
    <t>○年金収入　　　　</t>
    <rPh sb="1" eb="3">
      <t>ねんきん</t>
    </rPh>
    <rPh sb="3" eb="5">
      <t>しゅうにゅう</t>
    </rPh>
    <phoneticPr fontId="20" type="Hiragana"/>
  </si>
  <si>
    <t>　</t>
  </si>
  <si>
    <t>端数</t>
    <rPh sb="0" eb="2">
      <t>はすう</t>
    </rPh>
    <phoneticPr fontId="20" type="Hiragana"/>
  </si>
  <si>
    <t>軽減額</t>
    <rPh sb="0" eb="3">
      <t>けいげ</t>
    </rPh>
    <phoneticPr fontId="20" type="Hiragana"/>
  </si>
  <si>
    <t>２月</t>
  </si>
  <si>
    <t>　A～Cで入力した方について、「給与収入５５万円超」または「公的年金収入６０万円超（６５歳未満）又は１２５万円超（６５歳以上）」</t>
    <rPh sb="2" eb="7">
      <t>~Cでに</t>
    </rPh>
    <rPh sb="9" eb="10">
      <t>か</t>
    </rPh>
    <phoneticPr fontId="20" type="Hiragana"/>
  </si>
  <si>
    <t>算定総額</t>
    <rPh sb="0" eb="4">
      <t>さんてい</t>
    </rPh>
    <phoneticPr fontId="20" type="Hiragana"/>
  </si>
  <si>
    <t>限度超過基準額</t>
    <rPh sb="0" eb="7">
      <t>げんどちょ</t>
    </rPh>
    <phoneticPr fontId="20" type="Hiragana"/>
  </si>
  <si>
    <t>算出保険料</t>
    <rPh sb="0" eb="5">
      <t>さんしゅつほけんりょう</t>
    </rPh>
    <phoneticPr fontId="20" type="Hiragana"/>
  </si>
  <si>
    <t>全体</t>
    <rPh sb="0" eb="2">
      <t>ぜんたい</t>
    </rPh>
    <phoneticPr fontId="20" type="Hiragana"/>
  </si>
  <si>
    <t>全加入者
※１８歳未満は均等割を免除。</t>
    <rPh sb="8" eb="11">
      <t>さいみまん</t>
    </rPh>
    <rPh sb="12" eb="15">
      <t>きんとうわ</t>
    </rPh>
    <phoneticPr fontId="20" type="Hiragana"/>
  </si>
  <si>
    <t>１８歳以上均等割</t>
  </si>
  <si>
    <t>１８歳以上均等割</t>
    <rPh sb="2" eb="8">
      <t>としいじょうきんとうわり</t>
    </rPh>
    <phoneticPr fontId="20" type="Hiragana"/>
  </si>
  <si>
    <t>【注意事項】</t>
  </si>
  <si>
    <t>１８歳未満均等割軽減額</t>
    <rPh sb="2" eb="5">
      <t>さいみまん</t>
    </rPh>
    <rPh sb="5" eb="8">
      <t>きんとうわり</t>
    </rPh>
    <rPh sb="8" eb="10">
      <t>けいげん</t>
    </rPh>
    <rPh sb="10" eb="11">
      <t>がく</t>
    </rPh>
    <phoneticPr fontId="20" type="Hiragana"/>
  </si>
  <si>
    <t>【医・後・介・子子】</t>
    <rPh sb="1" eb="2">
      <t>い</t>
    </rPh>
    <rPh sb="3" eb="4">
      <t>あと</t>
    </rPh>
    <rPh sb="5" eb="6">
      <t>かい</t>
    </rPh>
    <rPh sb="7" eb="8">
      <t>こ</t>
    </rPh>
    <rPh sb="8" eb="9">
      <t>こ</t>
    </rPh>
    <phoneticPr fontId="20" type="Hiragana"/>
  </si>
  <si>
    <t>ひと月あたり</t>
    <rPh sb="2" eb="3">
      <t>つき</t>
    </rPh>
    <phoneticPr fontId="20" type="Hiragana"/>
  </si>
  <si>
    <t>賦課
月数</t>
    <rPh sb="0" eb="2">
      <t>ふか</t>
    </rPh>
    <rPh sb="3" eb="5">
      <t>げっすう</t>
    </rPh>
    <phoneticPr fontId="20" type="Hiragana"/>
  </si>
  <si>
    <t>判定２</t>
  </si>
  <si>
    <t>賦課月数</t>
    <rPh sb="0" eb="4">
      <t>ふかげ</t>
    </rPh>
    <phoneticPr fontId="20" type="Hiragana"/>
  </si>
  <si>
    <t>判定D</t>
    <rPh sb="0" eb="2">
      <t>はんてい</t>
    </rPh>
    <phoneticPr fontId="20" type="Hiragana"/>
  </si>
  <si>
    <t>４０～６４歳
加入者</t>
    <rPh sb="2" eb="6">
      <t>~64さ</t>
    </rPh>
    <rPh sb="7" eb="10">
      <t>かにゅうしゃ</t>
    </rPh>
    <phoneticPr fontId="20" type="Hiragana"/>
  </si>
  <si>
    <t>所得割率</t>
    <rPh sb="0" eb="4">
      <t>しょとく</t>
    </rPh>
    <phoneticPr fontId="20" type="Hiragana"/>
  </si>
  <si>
    <t>７割軽減</t>
    <rPh sb="1" eb="4">
      <t>わりけ</t>
    </rPh>
    <phoneticPr fontId="20" type="Hiragana"/>
  </si>
  <si>
    <t>５割軽減</t>
    <rPh sb="1" eb="4">
      <t>わりけ</t>
    </rPh>
    <phoneticPr fontId="20" type="Hiragana"/>
  </si>
  <si>
    <t>平等割
（旧国・１/２）</t>
    <rPh sb="0" eb="2">
      <t>びょうどう</t>
    </rPh>
    <rPh sb="2" eb="3">
      <t>わり</t>
    </rPh>
    <rPh sb="5" eb="7">
      <t>きゅ</t>
    </rPh>
    <phoneticPr fontId="20" type="Hiragana"/>
  </si>
  <si>
    <t>平等割額</t>
    <rPh sb="0" eb="4">
      <t>びょう</t>
    </rPh>
    <phoneticPr fontId="20" type="Hiragana"/>
  </si>
  <si>
    <t>《B　総所得金額等》</t>
    <rPh sb="3" eb="9">
      <t>そうしょとく</t>
    </rPh>
    <phoneticPr fontId="20" type="Hiragana"/>
  </si>
  <si>
    <t>年度・料率等</t>
    <rPh sb="0" eb="2">
      <t>ネンド</t>
    </rPh>
    <rPh sb="3" eb="5">
      <t>リョウリツ</t>
    </rPh>
    <rPh sb="5" eb="6">
      <t>トウ</t>
    </rPh>
    <phoneticPr fontId="46"/>
  </si>
  <si>
    <t>③軽減判定</t>
    <rPh sb="1" eb="5">
      <t>けいげ</t>
    </rPh>
    <phoneticPr fontId="20" type="Hiragana"/>
  </si>
  <si>
    <t>旧国（１/４）</t>
  </si>
  <si>
    <t>⑴算定総額</t>
    <rPh sb="1" eb="5">
      <t>さんてい</t>
    </rPh>
    <phoneticPr fontId="20" type="Hiragana"/>
  </si>
  <si>
    <t>軽減なし</t>
    <rPh sb="0" eb="4">
      <t>けいげ</t>
    </rPh>
    <phoneticPr fontId="20" type="Hiragana"/>
  </si>
  <si>
    <t>⑶未就学児軽減額</t>
    <rPh sb="1" eb="5">
      <t>みしゅうがくじ</t>
    </rPh>
    <rPh sb="5" eb="7">
      <t>けいげん</t>
    </rPh>
    <rPh sb="7" eb="8">
      <t>がく</t>
    </rPh>
    <phoneticPr fontId="20" type="Hiragana"/>
  </si>
  <si>
    <t>均等割</t>
    <rPh sb="0" eb="3">
      <t>きんとうわ</t>
    </rPh>
    <phoneticPr fontId="20" type="Hiragana"/>
  </si>
  <si>
    <t>子子（計算２）</t>
    <rPh sb="0" eb="1">
      <t>コ</t>
    </rPh>
    <rPh sb="1" eb="2">
      <t>コ</t>
    </rPh>
    <rPh sb="3" eb="5">
      <t>ケイサン</t>
    </rPh>
    <phoneticPr fontId="46"/>
  </si>
  <si>
    <t>⑸合計</t>
    <rPh sb="1" eb="3">
      <t>ごうけい</t>
    </rPh>
    <phoneticPr fontId="20" type="Hiragana"/>
  </si>
  <si>
    <t>⑺世帯賦課額</t>
    <rPh sb="1" eb="6">
      <t>せたいふか</t>
    </rPh>
    <phoneticPr fontId="20" type="Hiragana"/>
  </si>
  <si>
    <t>年齢区分</t>
    <rPh sb="0" eb="4">
      <t>ねんれい</t>
    </rPh>
    <phoneticPr fontId="20" type="Hiragana"/>
  </si>
  <si>
    <t>１８歳以上</t>
    <rPh sb="2" eb="5">
      <t>さいいじょう</t>
    </rPh>
    <phoneticPr fontId="20" type="Hiragana"/>
  </si>
  <si>
    <t>（未就学児）</t>
    <rPh sb="1" eb="5">
      <t>みしゅうがくじ</t>
    </rPh>
    <phoneticPr fontId="20" type="Hiragana"/>
  </si>
  <si>
    <t>　　①営業、農業等の事業所得、給与所得、不動産所得、配当所得、一時所得、雑所得（公的年金等）などの総所得</t>
    <rPh sb="3" eb="5">
      <t>えいぎょう</t>
    </rPh>
    <rPh sb="6" eb="10">
      <t>のうぎ</t>
    </rPh>
    <rPh sb="10" eb="14">
      <t>じぎ</t>
    </rPh>
    <rPh sb="15" eb="19">
      <t>きゅうよ</t>
    </rPh>
    <rPh sb="20" eb="25">
      <t>ふどうさ</t>
    </rPh>
    <rPh sb="26" eb="30">
      <t>はいとう</t>
    </rPh>
    <rPh sb="31" eb="35">
      <t>いちじ</t>
    </rPh>
    <rPh sb="36" eb="39">
      <t>ざつしょとく</t>
    </rPh>
    <rPh sb="40" eb="45">
      <t>こうてきね</t>
    </rPh>
    <rPh sb="49" eb="52">
      <t>そう</t>
    </rPh>
    <phoneticPr fontId="20" type="Hiragana"/>
  </si>
  <si>
    <t>法定
軽減</t>
    <rPh sb="0" eb="2">
      <t>ほうてい</t>
    </rPh>
    <rPh sb="3" eb="5">
      <t>けいげん</t>
    </rPh>
    <phoneticPr fontId="20" type="Hiragana"/>
  </si>
  <si>
    <r>
      <t>※今年度１８歳未満の加入者は、子ども子育て支援金分保険料のうち、</t>
    </r>
    <r>
      <rPr>
        <u/>
        <sz val="9"/>
        <color indexed="8"/>
        <rFont val="ＭＳ Ｐゴシック"/>
      </rPr>
      <t>均等割のみ</t>
    </r>
    <r>
      <rPr>
        <sz val="9"/>
        <color indexed="8"/>
        <rFont val="ＭＳ Ｐゴシック"/>
      </rPr>
      <t>免除されます（賦課後に同額を軽減し相殺する仕組み）。</t>
    </r>
    <rPh sb="1" eb="4">
      <t>こんねんど</t>
    </rPh>
    <rPh sb="6" eb="9">
      <t>さいみまん</t>
    </rPh>
    <rPh sb="10" eb="13">
      <t>かにゅ</t>
    </rPh>
    <rPh sb="15" eb="16">
      <t>こ</t>
    </rPh>
    <rPh sb="18" eb="21">
      <t>こそ</t>
    </rPh>
    <rPh sb="21" eb="25">
      <t>しえんき</t>
    </rPh>
    <rPh sb="25" eb="28">
      <t>ほけんりょう</t>
    </rPh>
    <rPh sb="32" eb="35">
      <t>きんとうわ</t>
    </rPh>
    <rPh sb="37" eb="39">
      <t>めんじょ</t>
    </rPh>
    <rPh sb="44" eb="47">
      <t>ふかご</t>
    </rPh>
    <rPh sb="48" eb="50">
      <t>どうがく</t>
    </rPh>
    <rPh sb="51" eb="53">
      <t>けいげん</t>
    </rPh>
    <rPh sb="54" eb="56">
      <t>そうさい</t>
    </rPh>
    <rPh sb="58" eb="60">
      <t>しく</t>
    </rPh>
    <phoneticPr fontId="20" type="Hiragana"/>
  </si>
  <si>
    <t>年度　所得計算シート</t>
    <rPh sb="0" eb="2">
      <t>ねんど</t>
    </rPh>
    <rPh sb="3" eb="7">
      <t>しょとく</t>
    </rPh>
    <phoneticPr fontId="20" type="Hiragana"/>
  </si>
  <si>
    <t>介護継続</t>
    <rPh sb="0" eb="2">
      <t>かいご</t>
    </rPh>
    <rPh sb="2" eb="4">
      <t>けいぞく</t>
    </rPh>
    <phoneticPr fontId="20" type="Hiragana"/>
  </si>
  <si>
    <t>軽減割合</t>
    <rPh sb="0" eb="4">
      <t>けいげ</t>
    </rPh>
    <phoneticPr fontId="20" type="Hiragana"/>
  </si>
  <si>
    <t>人</t>
    <rPh sb="0" eb="1">
      <t>ひと</t>
    </rPh>
    <phoneticPr fontId="20" type="Hiragana"/>
  </si>
  <si>
    <t>A 生年月日</t>
    <rPh sb="2" eb="6">
      <t>せいねん</t>
    </rPh>
    <phoneticPr fontId="20" type="Hiragana"/>
  </si>
  <si>
    <t>D　給与
所得者等</t>
    <rPh sb="2" eb="4">
      <t>きゅうよ</t>
    </rPh>
    <rPh sb="5" eb="8">
      <t>しょとくしゃ</t>
    </rPh>
    <rPh sb="8" eb="9">
      <t>とう</t>
    </rPh>
    <phoneticPr fontId="20" type="Hiragana"/>
  </si>
  <si>
    <t>第１期～第８期払いで１回あたり</t>
    <rPh sb="0" eb="3">
      <t>だい</t>
    </rPh>
    <rPh sb="4" eb="5">
      <t>だい</t>
    </rPh>
    <rPh sb="6" eb="7">
      <t>き</t>
    </rPh>
    <rPh sb="7" eb="8">
      <t>ばら</t>
    </rPh>
    <rPh sb="11" eb="12">
      <t>かい</t>
    </rPh>
    <phoneticPr fontId="20" type="Hiragana"/>
  </si>
  <si>
    <t>【試算情報入力】</t>
    <rPh sb="1" eb="5">
      <t>しさんじ</t>
    </rPh>
    <rPh sb="5" eb="7">
      <t>にゅうりょく</t>
    </rPh>
    <phoneticPr fontId="20" type="Hiragana"/>
  </si>
  <si>
    <t>「試算方法」シートの手順で入力、計算してください。
試算結果は実際の決定額ではありません。あくまで参考としてご利用ください。</t>
    <rPh sb="1" eb="5">
      <t>しさんほ</t>
    </rPh>
    <rPh sb="10" eb="12">
      <t>てじゅん</t>
    </rPh>
    <rPh sb="13" eb="15">
      <t>にゅうりょく</t>
    </rPh>
    <rPh sb="16" eb="18">
      <t>けいさん</t>
    </rPh>
    <phoneticPr fontId="20" type="Hiragana"/>
  </si>
  <si>
    <t>　　⑤株式等に係る譲渡所得等の金額</t>
  </si>
  <si>
    <t>簡易試算シートの使用方法</t>
    <rPh sb="0" eb="2">
      <t>かんい</t>
    </rPh>
    <phoneticPr fontId="20" type="Hiragana"/>
  </si>
  <si>
    <t>《A　生年月日》</t>
    <rPh sb="3" eb="7">
      <t>せいねん</t>
    </rPh>
    <phoneticPr fontId="20" type="Hiragana"/>
  </si>
  <si>
    <t>《C　うち年金所得》</t>
    <rPh sb="5" eb="9">
      <t>ねんきん</t>
    </rPh>
    <phoneticPr fontId="20" type="Hiragana"/>
  </si>
  <si>
    <t>【試算情報入力】に国保加入者の下記A～D情報を入力してください。【試算結果】に算出保険料が表示されます。</t>
    <rPh sb="1" eb="5">
      <t>しさんじ</t>
    </rPh>
    <rPh sb="5" eb="7">
      <t>にゅうりょく</t>
    </rPh>
    <rPh sb="9" eb="11">
      <t>こくほ</t>
    </rPh>
    <rPh sb="15" eb="17">
      <t>かき</t>
    </rPh>
    <rPh sb="20" eb="22">
      <t>じ</t>
    </rPh>
    <rPh sb="23" eb="25">
      <t>にゅうりょく</t>
    </rPh>
    <rPh sb="33" eb="35">
      <t>しさん</t>
    </rPh>
    <rPh sb="35" eb="37">
      <t>けっか</t>
    </rPh>
    <rPh sb="39" eb="45">
      <t>さんしゅつほ</t>
    </rPh>
    <rPh sb="45" eb="47">
      <t>ひょうじ</t>
    </rPh>
    <phoneticPr fontId="20" type="Hiragana"/>
  </si>
  <si>
    <t>　なお、総所得金額等とは次の①～⑥所得を合計した金額のことです。</t>
    <rPh sb="4" eb="10">
      <t>そうしょ</t>
    </rPh>
    <rPh sb="12" eb="13">
      <t>つぎ</t>
    </rPh>
    <rPh sb="17" eb="20">
      <t>し</t>
    </rPh>
    <rPh sb="20" eb="22">
      <t>ごうけい</t>
    </rPh>
    <rPh sb="24" eb="26">
      <t>きんがく</t>
    </rPh>
    <phoneticPr fontId="20" type="Hiragana"/>
  </si>
  <si>
    <t xml:space="preserve">　　④土地等に係る事業所得等の金額
</t>
  </si>
  <si>
    <t>　※税法上の各種控除（配偶者控除や扶養控除など）の適用はありません。</t>
    <rPh sb="2" eb="5">
      <t>ぜいほうじょう</t>
    </rPh>
    <rPh sb="6" eb="10">
      <t>かくしゅ</t>
    </rPh>
    <rPh sb="11" eb="16">
      <t>はいぐう</t>
    </rPh>
    <rPh sb="17" eb="21">
      <t>ふようこ</t>
    </rPh>
    <rPh sb="25" eb="27">
      <t>てきよう</t>
    </rPh>
    <phoneticPr fontId="20" type="Hiragana"/>
  </si>
  <si>
    <t>　Bで入力した総所得金額等のうち、年金所得を含む方がいればその金額を入力してください。</t>
    <rPh sb="3" eb="7">
      <t>にゅう</t>
    </rPh>
    <rPh sb="7" eb="12">
      <t>そうしょとくきんがく</t>
    </rPh>
    <rPh sb="12" eb="13">
      <t>とう</t>
    </rPh>
    <rPh sb="17" eb="21">
      <t>ねんきんしょとく</t>
    </rPh>
    <rPh sb="22" eb="23">
      <t>ふく</t>
    </rPh>
    <rPh sb="24" eb="25">
      <t>かた</t>
    </rPh>
    <rPh sb="31" eb="33">
      <t>きんがく</t>
    </rPh>
    <rPh sb="34" eb="36">
      <t>にゅうりょく</t>
    </rPh>
    <phoneticPr fontId="20" type="Hiragana"/>
  </si>
  <si>
    <t>判定式</t>
    <rPh sb="0" eb="3">
      <t>はんていしき</t>
    </rPh>
    <phoneticPr fontId="20" type="Hiragana"/>
  </si>
  <si>
    <t>　に該当する場合は○を選択してください。</t>
  </si>
  <si>
    <t>【法定軽減判定式】</t>
    <rPh sb="1" eb="3">
      <t>ほうてい</t>
    </rPh>
    <rPh sb="3" eb="5">
      <t>けいげん</t>
    </rPh>
    <rPh sb="5" eb="8">
      <t>はんて</t>
    </rPh>
    <phoneticPr fontId="20" type="Hiragana"/>
  </si>
  <si>
    <t>※世帯主の所得情報は国保加入の有無に関わらず、法定軽減の判定に含まれます。
　　世帯に国保に加入しない世帯主がいる場合は、「国保未加入の世帯主」欄にB～D情報を入力してください。</t>
    <rPh sb="1" eb="4">
      <t>せたいぬし</t>
    </rPh>
    <rPh sb="7" eb="9">
      <t>じょうほう</t>
    </rPh>
    <rPh sb="10" eb="14">
      <t>こくほかにゅう</t>
    </rPh>
    <rPh sb="18" eb="19">
      <t>かか</t>
    </rPh>
    <rPh sb="23" eb="28">
      <t>ほうていけ</t>
    </rPh>
    <rPh sb="28" eb="30">
      <t>はんてい</t>
    </rPh>
    <rPh sb="31" eb="32">
      <t>ふく</t>
    </rPh>
    <rPh sb="40" eb="42">
      <t>せたい</t>
    </rPh>
    <phoneticPr fontId="20" type="Hiragana"/>
  </si>
  <si>
    <t>※この試算シートでは、特定同一世帯所属者の数は判定に含んでいません。</t>
    <rPh sb="3" eb="5">
      <t>しさん</t>
    </rPh>
    <rPh sb="11" eb="17">
      <t>とくていど</t>
    </rPh>
    <rPh sb="17" eb="20">
      <t>しょぞ</t>
    </rPh>
    <rPh sb="21" eb="22">
      <t>かず</t>
    </rPh>
    <rPh sb="23" eb="25">
      <t>はん</t>
    </rPh>
    <rPh sb="26" eb="27">
      <t>ふく</t>
    </rPh>
    <phoneticPr fontId="20" type="Hiragana"/>
  </si>
  <si>
    <t>　加入者（及び国保未加入の世帯主）の前年の総所得金額等を入力してください。</t>
    <rPh sb="1" eb="4">
      <t>かにゅうしゃ</t>
    </rPh>
    <rPh sb="5" eb="6">
      <t>およ</t>
    </rPh>
    <rPh sb="7" eb="13">
      <t>こくほみかに</t>
    </rPh>
    <rPh sb="13" eb="16">
      <t>せたいぬし</t>
    </rPh>
    <rPh sb="18" eb="20">
      <t>ぜんねん</t>
    </rPh>
    <rPh sb="21" eb="27">
      <t>そうしょとく</t>
    </rPh>
    <rPh sb="28" eb="30">
      <t>にゅうりょく</t>
    </rPh>
    <phoneticPr fontId="20" type="Hiragana"/>
  </si>
</sst>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0&quot;割&quot;"/>
    <numFmt numFmtId="177" formatCode="#,##0_);[Red]\(#,##0\)"/>
    <numFmt numFmtId="178" formatCode="#,##0_ "/>
    <numFmt numFmtId="179" formatCode="0_ "/>
    <numFmt numFmtId="180" formatCode="0.0%"/>
    <numFmt numFmtId="181" formatCode="###&quot;行&quot;&quot;目&quot;&quot;-&quot;"/>
    <numFmt numFmtId="182" formatCode="0000&quot;年&quot;&quot;度&quot;"/>
    <numFmt numFmtId="183" formatCode="0000"/>
    <numFmt numFmtId="184" formatCode="[$-411]ge.m.d;@"/>
  </numFmts>
  <fonts count="47">
    <font>
      <sz val="11"/>
      <color indexed="8"/>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auto="1"/>
      <name val="ＭＳ Ｐゴシック"/>
      <family val="3"/>
    </font>
    <font>
      <sz val="11"/>
      <color theme="1"/>
      <name val="游ゴシック"/>
      <family val="3"/>
      <scheme val="minor"/>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游ゴシック"/>
      <family val="3"/>
    </font>
    <font>
      <sz val="9"/>
      <color indexed="8"/>
      <name val="ＭＳ Ｐゴシック"/>
      <family val="3"/>
    </font>
    <font>
      <b/>
      <sz val="16"/>
      <color indexed="8"/>
      <name val="ＭＳ Ｐゴシック"/>
      <family val="3"/>
    </font>
    <font>
      <b/>
      <sz val="12"/>
      <color indexed="8"/>
      <name val="ＭＳ Ｐゴシック"/>
      <family val="3"/>
    </font>
    <font>
      <b/>
      <sz val="9"/>
      <color indexed="8"/>
      <name val="ＭＳ Ｐゴシック"/>
      <family val="3"/>
    </font>
    <font>
      <sz val="10"/>
      <color indexed="8"/>
      <name val="ＭＳ Ｐゴシック"/>
      <family val="3"/>
    </font>
    <font>
      <b/>
      <sz val="11"/>
      <color rgb="FFFF0000"/>
      <name val="ＭＳ Ｐゴシック"/>
      <family val="3"/>
    </font>
    <font>
      <sz val="12"/>
      <color indexed="8"/>
      <name val="ＭＳ Ｐゴシック"/>
      <family val="3"/>
    </font>
    <font>
      <b/>
      <sz val="10"/>
      <color indexed="8"/>
      <name val="ＭＳ Ｐゴシック"/>
      <family val="3"/>
    </font>
    <font>
      <sz val="9"/>
      <color theme="1"/>
      <name val="ＭＳ Ｐゴシック"/>
      <family val="3"/>
    </font>
    <font>
      <b/>
      <sz val="10"/>
      <color theme="1"/>
      <name val="ＭＳ Ｐゴシック"/>
      <family val="3"/>
    </font>
    <font>
      <b/>
      <sz val="12"/>
      <color theme="1"/>
      <name val="ＭＳ Ｐゴシック"/>
      <family val="3"/>
    </font>
    <font>
      <b/>
      <sz val="20"/>
      <color theme="1"/>
      <name val="ＭＳ Ｐゴシック"/>
      <family val="3"/>
    </font>
    <font>
      <sz val="10"/>
      <color theme="1"/>
      <name val="ＭＳ Ｐゴシック"/>
      <family val="3"/>
    </font>
    <font>
      <b/>
      <sz val="16"/>
      <color theme="1"/>
      <name val="ＭＳ Ｐゴシック"/>
      <family val="3"/>
    </font>
    <font>
      <b/>
      <u/>
      <sz val="11"/>
      <color indexed="8"/>
      <name val="ＭＳ Ｐゴシック"/>
      <family val="3"/>
    </font>
    <font>
      <b/>
      <sz val="14"/>
      <color indexed="8"/>
      <name val="ＭＳ Ｐゴシック"/>
      <family val="3"/>
    </font>
    <font>
      <b/>
      <sz val="9"/>
      <color theme="1"/>
      <name val="ＭＳ Ｐゴシック"/>
      <family val="3"/>
    </font>
    <font>
      <b/>
      <sz val="20"/>
      <color indexed="8"/>
      <name val="ＭＳ Ｐゴシック"/>
      <family val="3"/>
    </font>
    <font>
      <b/>
      <sz val="9"/>
      <color rgb="FFFF0000"/>
      <name val="ＭＳ Ｐゴシック"/>
      <family val="3"/>
    </font>
    <font>
      <sz val="9"/>
      <color rgb="FFFF0000"/>
      <name val="ＭＳ Ｐゴシック"/>
      <family val="3"/>
    </font>
    <font>
      <sz val="9"/>
      <color theme="4" tint="-0.25"/>
      <name val="ＭＳ Ｐゴシック"/>
      <family val="3"/>
    </font>
    <font>
      <b/>
      <sz val="9"/>
      <color theme="5" tint="-0.25"/>
      <name val="ＭＳ Ｐゴシック"/>
      <family val="3"/>
    </font>
    <font>
      <u/>
      <sz val="9"/>
      <color indexed="8"/>
      <name val="ＭＳ Ｐゴシック"/>
      <family val="3"/>
    </font>
    <font>
      <b/>
      <u/>
      <sz val="10"/>
      <color indexed="8"/>
      <name val="ＭＳ Ｐゴシック"/>
      <family val="3"/>
    </font>
    <font>
      <sz val="9"/>
      <color auto="1"/>
      <name val="ＭＳ Ｐゴシック"/>
      <family val="3"/>
    </font>
    <font>
      <sz val="6"/>
      <color auto="1"/>
      <name val="ＭＳ Ｐゴシック"/>
      <family val="3"/>
    </font>
  </fonts>
  <fills count="34">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solid">
        <fgColor theme="3" tint="0.8"/>
        <bgColor indexed="64"/>
      </patternFill>
    </fill>
    <fill>
      <patternFill patternType="solid">
        <fgColor theme="7" tint="0.6"/>
        <bgColor indexed="64"/>
      </patternFill>
    </fill>
    <fill>
      <patternFill patternType="solid">
        <fgColor theme="4" tint="0.8"/>
        <bgColor indexed="64"/>
      </patternFill>
    </fill>
    <fill>
      <patternFill patternType="solid">
        <fgColor theme="9" tint="0.8"/>
        <bgColor indexed="64"/>
      </patternFill>
    </fill>
    <fill>
      <patternFill patternType="solid">
        <fgColor rgb="FFFFE69A"/>
        <bgColor indexed="64"/>
      </patternFill>
    </fill>
    <fill>
      <patternFill patternType="solid">
        <fgColor rgb="FFFFFFBE"/>
        <bgColor indexed="64"/>
      </patternFill>
    </fill>
    <fill>
      <patternFill patternType="solid">
        <fgColor rgb="FFFFC000"/>
        <bgColor indexed="64"/>
      </patternFill>
    </fill>
    <fill>
      <patternFill patternType="solid">
        <fgColor rgb="FFD4F3B5"/>
        <bgColor indexed="64"/>
      </patternFill>
    </fill>
    <fill>
      <patternFill patternType="solid">
        <fgColor theme="5" tint="0.8"/>
        <bgColor indexed="64"/>
      </patternFill>
    </fill>
    <fill>
      <patternFill patternType="solid">
        <fgColor theme="0" tint="-0.5"/>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diagonalDown="1">
      <left style="double">
        <color indexed="64"/>
      </left>
      <right style="thin">
        <color indexed="64"/>
      </right>
      <top style="double">
        <color indexed="64"/>
      </top>
      <bottom/>
      <diagonal style="thin">
        <color indexed="64"/>
      </diagonal>
    </border>
    <border diagonalDown="1">
      <left style="double">
        <color indexed="64"/>
      </left>
      <right style="thin">
        <color indexed="64"/>
      </right>
      <top/>
      <bottom style="double">
        <color indexed="64"/>
      </bottom>
      <diagonal style="thin">
        <color indexed="64"/>
      </diagonal>
    </border>
    <border>
      <left/>
      <right/>
      <top style="double">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ck">
        <color rgb="FFFF0000"/>
      </right>
      <top style="double">
        <color indexed="64"/>
      </top>
      <bottom/>
      <diagonal/>
    </border>
    <border>
      <left style="thin">
        <color indexed="64"/>
      </left>
      <right style="thick">
        <color rgb="FFFF0000"/>
      </right>
      <top/>
      <bottom style="double">
        <color indexed="64"/>
      </bottom>
      <diagonal/>
    </border>
    <border>
      <left style="thin">
        <color indexed="64"/>
      </left>
      <right/>
      <top style="double">
        <color indexed="64"/>
      </top>
      <bottom/>
      <diagonal/>
    </border>
    <border>
      <left style="thin">
        <color indexed="64"/>
      </left>
      <right/>
      <top/>
      <bottom style="double">
        <color indexed="64"/>
      </bottom>
      <diagonal/>
    </border>
    <border>
      <left/>
      <right/>
      <top/>
      <bottom style="double">
        <color indexed="64"/>
      </bottom>
      <diagonal/>
    </border>
    <border>
      <left style="thin">
        <color theme="1"/>
      </left>
      <right/>
      <top style="thin">
        <color theme="1"/>
      </top>
      <bottom style="thin">
        <color indexed="64"/>
      </bottom>
      <diagonal/>
    </border>
    <border>
      <left style="thin">
        <color theme="1"/>
      </left>
      <right style="thin">
        <color indexed="64"/>
      </right>
      <top style="thin">
        <color indexed="64"/>
      </top>
      <bottom style="thick">
        <color rgb="FFFF0000"/>
      </bottom>
      <diagonal/>
    </border>
    <border>
      <left style="thick">
        <color rgb="FFFF0000"/>
      </left>
      <right style="thin">
        <color indexed="64"/>
      </right>
      <top style="thick">
        <color rgb="FFFF0000"/>
      </top>
      <bottom style="thin">
        <color indexed="64"/>
      </bottom>
      <diagonal/>
    </border>
    <border>
      <left style="thick">
        <color rgb="FFFF0000"/>
      </left>
      <right style="thin">
        <color indexed="64"/>
      </right>
      <top style="thin">
        <color indexed="64"/>
      </top>
      <bottom style="thin">
        <color indexed="64"/>
      </bottom>
      <diagonal/>
    </border>
    <border>
      <left style="thick">
        <color rgb="FFFF0000"/>
      </left>
      <right style="thin">
        <color indexed="64"/>
      </right>
      <top style="double">
        <color indexed="64"/>
      </top>
      <bottom style="thin">
        <color indexed="64"/>
      </bottom>
      <diagonal/>
    </border>
    <border>
      <left style="thick">
        <color rgb="FFFF0000"/>
      </left>
      <right style="thin">
        <color indexed="64"/>
      </right>
      <top style="thin">
        <color indexed="64"/>
      </top>
      <bottom/>
      <diagonal/>
    </border>
    <border>
      <left style="thick">
        <color rgb="FFFF0000"/>
      </left>
      <right style="thin">
        <color indexed="64"/>
      </right>
      <top style="thin">
        <color indexed="64"/>
      </top>
      <bottom style="thick">
        <color rgb="FFFF0000"/>
      </bottom>
      <diagonal/>
    </border>
    <border>
      <left/>
      <right/>
      <top style="thin">
        <color theme="1"/>
      </top>
      <bottom style="thin">
        <color indexed="64"/>
      </bottom>
      <diagonal/>
    </border>
    <border>
      <left style="thin">
        <color indexed="64"/>
      </left>
      <right style="thin">
        <color indexed="64"/>
      </right>
      <top style="thin">
        <color indexed="64"/>
      </top>
      <bottom style="thick">
        <color rgb="FFFF0000"/>
      </bottom>
      <diagonal/>
    </border>
    <border>
      <left style="thin">
        <color indexed="64"/>
      </left>
      <right style="thin">
        <color indexed="64"/>
      </right>
      <top style="thick">
        <color rgb="FFFF000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diagonal/>
    </border>
    <border>
      <left style="thin">
        <color indexed="64"/>
      </left>
      <right style="thin">
        <color indexed="64"/>
      </right>
      <top/>
      <bottom style="thick">
        <color rgb="FFFF0000"/>
      </bottom>
      <diagonal/>
    </border>
    <border>
      <left style="thin">
        <color indexed="64"/>
      </left>
      <right style="thin">
        <color theme="1"/>
      </right>
      <top style="thin">
        <color theme="1"/>
      </top>
      <bottom/>
      <diagonal/>
    </border>
    <border>
      <left style="thin">
        <color indexed="64"/>
      </left>
      <right style="thin">
        <color theme="1"/>
      </right>
      <top/>
      <bottom style="thick">
        <color rgb="FFFF0000"/>
      </bottom>
      <diagonal/>
    </border>
    <border>
      <left style="thin">
        <color indexed="64"/>
      </left>
      <right style="thick">
        <color rgb="FFFF0000"/>
      </right>
      <top style="thick">
        <color rgb="FFFF0000"/>
      </top>
      <bottom style="thin">
        <color indexed="64"/>
      </bottom>
      <diagonal/>
    </border>
    <border>
      <left style="thin">
        <color indexed="64"/>
      </left>
      <right style="thick">
        <color rgb="FFFF0000"/>
      </right>
      <top style="thin">
        <color indexed="64"/>
      </top>
      <bottom style="double">
        <color indexed="64"/>
      </bottom>
      <diagonal/>
    </border>
    <border>
      <left style="thin">
        <color indexed="64"/>
      </left>
      <right style="thick">
        <color rgb="FFFF0000"/>
      </right>
      <top/>
      <bottom style="thin">
        <color indexed="64"/>
      </bottom>
      <diagonal/>
    </border>
    <border>
      <left style="thin">
        <color indexed="64"/>
      </left>
      <right style="thick">
        <color rgb="FFFF0000"/>
      </right>
      <top style="double">
        <color indexed="64"/>
      </top>
      <bottom style="thin">
        <color indexed="64"/>
      </bottom>
      <diagonal/>
    </border>
    <border>
      <left style="thin">
        <color indexed="64"/>
      </left>
      <right style="thick">
        <color rgb="FFFF0000"/>
      </right>
      <top style="thin">
        <color indexed="64"/>
      </top>
      <bottom style="thick">
        <color rgb="FFFF0000"/>
      </bottom>
      <diagonal/>
    </border>
    <border>
      <left/>
      <right/>
      <top/>
      <bottom style="thick">
        <color indexed="64"/>
      </bottom>
      <diagonal/>
    </border>
    <border>
      <left style="thin">
        <color indexed="64"/>
      </left>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top/>
      <bottom style="thin">
        <color indexed="64"/>
      </bottom>
      <diagonal/>
    </border>
    <border>
      <left/>
      <right/>
      <top style="thick">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double">
        <color indexed="64"/>
      </top>
      <bottom style="double">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ouble">
        <color indexed="64"/>
      </right>
      <top style="double">
        <color indexed="64"/>
      </top>
      <bottom style="double">
        <color indexed="64"/>
      </bottom>
      <diagonal/>
    </border>
    <border>
      <left/>
      <right/>
      <top/>
      <bottom style="medium">
        <color indexed="64"/>
      </bottom>
      <diagonal/>
    </border>
    <border>
      <left style="thick">
        <color rgb="FFFF0000"/>
      </left>
      <right/>
      <top style="thick">
        <color rgb="FFFF0000"/>
      </top>
      <bottom/>
      <diagonal/>
    </border>
    <border>
      <left style="thick">
        <color rgb="FFFF0000"/>
      </left>
      <right/>
      <top/>
      <bottom style="thick">
        <color rgb="FFFF0000"/>
      </bottom>
      <diagonal/>
    </border>
    <border>
      <left/>
      <right/>
      <top style="thick">
        <color rgb="FFFF0000"/>
      </top>
      <bottom/>
      <diagonal/>
    </border>
    <border>
      <left/>
      <right/>
      <top/>
      <bottom style="thick">
        <color rgb="FFFF0000"/>
      </bottom>
      <diagonal/>
    </border>
    <border>
      <left/>
      <right style="thick">
        <color rgb="FFFF0000"/>
      </right>
      <top style="thick">
        <color rgb="FFFF0000"/>
      </top>
      <bottom/>
      <diagonal/>
    </border>
    <border>
      <left/>
      <right style="thick">
        <color rgb="FFFF0000"/>
      </right>
      <top/>
      <bottom style="thick">
        <color rgb="FFFF0000"/>
      </bottom>
      <diagonal/>
    </border>
    <border>
      <left style="thick">
        <color rgb="FFFF0000"/>
      </left>
      <right/>
      <top/>
      <bottom/>
      <diagonal/>
    </border>
    <border>
      <left style="thick">
        <color rgb="FFFF0000"/>
      </left>
      <right style="thick">
        <color rgb="FFFF0000"/>
      </right>
      <top style="thick">
        <color rgb="FFFF0000"/>
      </top>
      <bottom style="thick">
        <color rgb="FFFF0000"/>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ck">
        <color rgb="FFFF0000"/>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style="thick">
        <color rgb="FFFF0000"/>
      </left>
      <right style="thick">
        <color rgb="FFFF0000"/>
      </right>
      <top style="thick">
        <color rgb="FFFF0000"/>
      </top>
      <bottom/>
      <diagonal/>
    </border>
    <border>
      <left style="thick">
        <color rgb="FFFF0000"/>
      </left>
      <right style="thick">
        <color rgb="FFFF0000"/>
      </right>
      <top/>
      <bottom style="thick">
        <color rgb="FFFF0000"/>
      </bottom>
      <diagonal/>
    </border>
    <border>
      <left/>
      <right style="thin">
        <color indexed="64"/>
      </right>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ck">
        <color rgb="FFFF0000"/>
      </left>
      <right style="thick">
        <color rgb="FFFF0000"/>
      </right>
      <top style="thick">
        <color rgb="FFFF0000"/>
      </top>
      <bottom style="thin">
        <color indexed="64"/>
      </bottom>
      <diagonal/>
    </border>
    <border>
      <left style="thick">
        <color rgb="FFFF0000"/>
      </left>
      <right style="thick">
        <color rgb="FFFF0000"/>
      </right>
      <top/>
      <bottom style="thin">
        <color indexed="64"/>
      </bottom>
      <diagonal/>
    </border>
    <border>
      <left style="thick">
        <color rgb="FFFF0000"/>
      </left>
      <right style="thick">
        <color rgb="FFFF0000"/>
      </right>
      <top style="thin">
        <color indexed="64"/>
      </top>
      <bottom style="thin">
        <color indexed="64"/>
      </bottom>
      <diagonal/>
    </border>
    <border>
      <left style="thick">
        <color rgb="FFFF0000"/>
      </left>
      <right style="thick">
        <color rgb="FFFF0000"/>
      </right>
      <top style="thin">
        <color indexed="64"/>
      </top>
      <bottom style="thick">
        <color rgb="FFFF0000"/>
      </bottom>
      <diagonal/>
    </border>
    <border diagonalUp="1" diagonalDown="1">
      <left style="thin">
        <color indexed="64"/>
      </left>
      <right style="thin">
        <color indexed="64"/>
      </right>
      <top style="thick">
        <color rgb="FFFF0000"/>
      </top>
      <bottom style="thin">
        <color indexed="64"/>
      </bottom>
      <diagonal style="thin">
        <color indexed="64"/>
      </diagonal>
    </border>
    <border>
      <left style="thin">
        <color indexed="64"/>
      </left>
      <right style="thick">
        <color rgb="FFFF0000"/>
      </right>
      <top style="thin">
        <color indexed="64"/>
      </top>
      <bottom style="thin">
        <color indexed="64"/>
      </bottom>
      <diagonal/>
    </border>
  </borders>
  <cellStyleXfs count="49">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0" fillId="0" borderId="0"/>
    <xf numFmtId="0" fontId="1" fillId="0" borderId="0">
      <alignment vertical="center"/>
    </xf>
    <xf numFmtId="0" fontId="11" fillId="0" borderId="0"/>
    <xf numFmtId="0" fontId="11" fillId="0" borderId="0"/>
    <xf numFmtId="0" fontId="10" fillId="0" borderId="0"/>
    <xf numFmtId="0" fontId="12" fillId="4"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38" fontId="1" fillId="0" borderId="0" applyFont="0" applyFill="0" applyBorder="0" applyAlignment="0" applyProtection="0">
      <alignment vertical="center"/>
    </xf>
    <xf numFmtId="9" fontId="11" fillId="0" borderId="0" applyFont="0" applyFill="0" applyBorder="0" applyAlignment="0" applyProtection="0">
      <alignment vertical="center"/>
    </xf>
  </cellStyleXfs>
  <cellXfs count="435">
    <xf numFmtId="0" fontId="0" fillId="0" borderId="0" xfId="0">
      <alignment vertical="center"/>
    </xf>
    <xf numFmtId="0" fontId="21" fillId="24" borderId="0" xfId="0" applyFont="1" applyFill="1" applyProtection="1">
      <alignment vertical="center"/>
    </xf>
    <xf numFmtId="0" fontId="21" fillId="24" borderId="0" xfId="0" applyFont="1" applyFill="1" applyAlignment="1" applyProtection="1">
      <alignment horizontal="right" vertical="center"/>
    </xf>
    <xf numFmtId="0" fontId="22" fillId="24" borderId="0" xfId="0" applyFont="1" applyFill="1" applyBorder="1" applyAlignment="1" applyProtection="1">
      <alignment horizontal="right"/>
    </xf>
    <xf numFmtId="0" fontId="23" fillId="24" borderId="0" xfId="0" applyFont="1" applyFill="1" applyAlignment="1" applyProtection="1">
      <alignment horizontal="left" vertical="center"/>
    </xf>
    <xf numFmtId="0" fontId="24" fillId="25" borderId="10" xfId="0" applyFont="1" applyFill="1" applyBorder="1" applyAlignment="1" applyProtection="1">
      <alignment horizontal="center" vertical="center" wrapText="1"/>
    </xf>
    <xf numFmtId="0" fontId="24" fillId="25" borderId="11" xfId="0" applyFont="1" applyFill="1" applyBorder="1" applyAlignment="1" applyProtection="1">
      <alignment horizontal="center" vertical="center" wrapText="1"/>
    </xf>
    <xf numFmtId="27" fontId="21" fillId="26" borderId="12" xfId="0" applyNumberFormat="1" applyFont="1" applyFill="1" applyBorder="1" applyAlignment="1" applyProtection="1">
      <alignment horizontal="center" vertical="center"/>
    </xf>
    <xf numFmtId="27" fontId="21" fillId="26" borderId="13" xfId="0" applyNumberFormat="1" applyFont="1" applyFill="1" applyBorder="1" applyAlignment="1" applyProtection="1">
      <alignment horizontal="center" vertical="center"/>
    </xf>
    <xf numFmtId="27" fontId="21" fillId="27" borderId="12" xfId="0" applyNumberFormat="1" applyFont="1" applyFill="1" applyBorder="1" applyAlignment="1" applyProtection="1">
      <alignment horizontal="center" vertical="center"/>
    </xf>
    <xf numFmtId="27" fontId="21" fillId="27" borderId="13" xfId="0" applyNumberFormat="1" applyFont="1" applyFill="1" applyBorder="1" applyAlignment="1" applyProtection="1">
      <alignment horizontal="center" vertical="center"/>
    </xf>
    <xf numFmtId="27" fontId="21" fillId="27" borderId="14" xfId="0" applyNumberFormat="1" applyFont="1" applyFill="1" applyBorder="1" applyAlignment="1" applyProtection="1">
      <alignment horizontal="center" vertical="center"/>
    </xf>
    <xf numFmtId="0" fontId="21" fillId="26" borderId="15" xfId="0" applyFont="1" applyFill="1" applyBorder="1" applyAlignment="1" applyProtection="1">
      <alignment horizontal="center" vertical="center"/>
    </xf>
    <xf numFmtId="0" fontId="21" fillId="26" borderId="16" xfId="0" applyFont="1" applyFill="1" applyBorder="1" applyAlignment="1" applyProtection="1">
      <alignment horizontal="center" vertical="center"/>
    </xf>
    <xf numFmtId="0" fontId="23" fillId="24" borderId="0" xfId="0" applyFont="1" applyFill="1" applyBorder="1" applyAlignment="1" applyProtection="1">
      <alignment horizontal="left" vertical="center"/>
    </xf>
    <xf numFmtId="0" fontId="25" fillId="24" borderId="0" xfId="0" applyFont="1" applyFill="1" applyBorder="1" applyAlignment="1" applyProtection="1">
      <alignment horizontal="left" vertical="top" wrapText="1"/>
    </xf>
    <xf numFmtId="0" fontId="26" fillId="24" borderId="17" xfId="0" applyFont="1" applyFill="1" applyBorder="1" applyAlignment="1" applyProtection="1">
      <alignment horizontal="center" vertical="top" wrapText="1"/>
    </xf>
    <xf numFmtId="0" fontId="26" fillId="24" borderId="0" xfId="0" applyFont="1" applyFill="1" applyBorder="1" applyAlignment="1" applyProtection="1">
      <alignment horizontal="center" vertical="top"/>
    </xf>
    <xf numFmtId="0" fontId="22" fillId="24" borderId="0" xfId="0" applyFont="1" applyFill="1" applyAlignment="1" applyProtection="1">
      <alignment horizontal="right"/>
    </xf>
    <xf numFmtId="0" fontId="24" fillId="25" borderId="18" xfId="0" applyFont="1" applyFill="1" applyBorder="1" applyAlignment="1" applyProtection="1">
      <alignment horizontal="center" vertical="center" wrapText="1"/>
    </xf>
    <xf numFmtId="0" fontId="24" fillId="25" borderId="19" xfId="0" applyFont="1" applyFill="1" applyBorder="1" applyAlignment="1" applyProtection="1">
      <alignment horizontal="center" vertical="center"/>
    </xf>
    <xf numFmtId="0" fontId="21" fillId="26" borderId="20" xfId="0" applyFont="1" applyFill="1" applyBorder="1" applyAlignment="1" applyProtection="1">
      <alignment horizontal="center"/>
    </xf>
    <xf numFmtId="0" fontId="21" fillId="26" borderId="21" xfId="0" applyNumberFormat="1" applyFont="1" applyFill="1" applyBorder="1" applyAlignment="1" applyProtection="1">
      <alignment horizontal="center" vertical="top"/>
    </xf>
    <xf numFmtId="0" fontId="21" fillId="27" borderId="22" xfId="0" applyFont="1" applyFill="1" applyBorder="1" applyAlignment="1" applyProtection="1">
      <alignment horizontal="center"/>
    </xf>
    <xf numFmtId="0" fontId="21" fillId="27" borderId="21" xfId="0" applyNumberFormat="1" applyFont="1" applyFill="1" applyBorder="1" applyAlignment="1" applyProtection="1">
      <alignment horizontal="center" vertical="top"/>
    </xf>
    <xf numFmtId="0" fontId="21" fillId="26" borderId="22" xfId="0" applyFont="1" applyFill="1" applyBorder="1" applyAlignment="1" applyProtection="1">
      <alignment horizontal="center" vertical="center"/>
    </xf>
    <xf numFmtId="0" fontId="21" fillId="26" borderId="22" xfId="0" applyFont="1" applyFill="1" applyBorder="1" applyAlignment="1" applyProtection="1">
      <alignment horizontal="center"/>
    </xf>
    <xf numFmtId="0" fontId="21" fillId="26" borderId="19" xfId="0" applyNumberFormat="1" applyFont="1" applyFill="1" applyBorder="1" applyAlignment="1" applyProtection="1">
      <alignment horizontal="center" vertical="center" wrapText="1"/>
    </xf>
    <xf numFmtId="0" fontId="21" fillId="26" borderId="23" xfId="0" applyNumberFormat="1" applyFont="1" applyFill="1" applyBorder="1" applyAlignment="1" applyProtection="1">
      <alignment horizontal="center" vertical="center"/>
    </xf>
    <xf numFmtId="0" fontId="22" fillId="24" borderId="0" xfId="0" applyFont="1" applyFill="1" applyBorder="1" applyAlignment="1" applyProtection="1">
      <alignment horizontal="left"/>
    </xf>
    <xf numFmtId="0" fontId="22" fillId="24" borderId="24" xfId="0" applyFont="1" applyFill="1" applyBorder="1" applyAlignment="1" applyProtection="1">
      <alignment horizontal="left"/>
    </xf>
    <xf numFmtId="0" fontId="26" fillId="24" borderId="17" xfId="0" applyFont="1" applyFill="1" applyBorder="1" applyAlignment="1" applyProtection="1">
      <alignment horizontal="center" vertical="top"/>
    </xf>
    <xf numFmtId="0" fontId="24" fillId="25" borderId="25" xfId="0" applyFont="1" applyFill="1" applyBorder="1" applyAlignment="1" applyProtection="1">
      <alignment horizontal="center" vertical="center"/>
    </xf>
    <xf numFmtId="0" fontId="24" fillId="25" borderId="26" xfId="0" applyFont="1" applyFill="1" applyBorder="1" applyAlignment="1" applyProtection="1">
      <alignment horizontal="center" vertical="center"/>
    </xf>
    <xf numFmtId="38" fontId="21" fillId="26" borderId="27" xfId="47" applyFont="1" applyFill="1" applyBorder="1" applyAlignment="1" applyProtection="1">
      <alignment horizontal="center" vertical="center"/>
      <protection locked="0"/>
    </xf>
    <xf numFmtId="38" fontId="21" fillId="26" borderId="28" xfId="47" applyFont="1" applyFill="1" applyBorder="1" applyAlignment="1" applyProtection="1">
      <alignment horizontal="center" vertical="center"/>
      <protection locked="0"/>
    </xf>
    <xf numFmtId="38" fontId="21" fillId="27" borderId="29" xfId="47" applyFont="1" applyFill="1" applyBorder="1" applyAlignment="1" applyProtection="1">
      <alignment horizontal="center" vertical="center"/>
      <protection locked="0"/>
    </xf>
    <xf numFmtId="38" fontId="21" fillId="27" borderId="28" xfId="47" applyFont="1" applyFill="1" applyBorder="1" applyAlignment="1" applyProtection="1">
      <alignment horizontal="center" vertical="center"/>
      <protection locked="0"/>
    </xf>
    <xf numFmtId="38" fontId="21" fillId="26" borderId="29" xfId="47" applyFont="1" applyFill="1" applyBorder="1" applyAlignment="1" applyProtection="1">
      <alignment horizontal="center" vertical="center"/>
      <protection locked="0"/>
    </xf>
    <xf numFmtId="38" fontId="21" fillId="26" borderId="30" xfId="47" applyFont="1" applyFill="1" applyBorder="1" applyAlignment="1" applyProtection="1">
      <alignment horizontal="center" vertical="center"/>
      <protection locked="0"/>
    </xf>
    <xf numFmtId="38" fontId="21" fillId="27" borderId="31" xfId="47" applyFont="1" applyFill="1" applyBorder="1" applyAlignment="1" applyProtection="1">
      <alignment horizontal="center" vertical="center"/>
      <protection locked="0"/>
    </xf>
    <xf numFmtId="0" fontId="21" fillId="26" borderId="0" xfId="0" applyNumberFormat="1" applyFont="1" applyFill="1" applyBorder="1" applyAlignment="1" applyProtection="1">
      <alignment horizontal="center" vertical="center"/>
    </xf>
    <xf numFmtId="0" fontId="21" fillId="26" borderId="24" xfId="0" applyNumberFormat="1" applyFont="1" applyFill="1" applyBorder="1" applyAlignment="1" applyProtection="1">
      <alignment horizontal="center" vertical="center"/>
    </xf>
    <xf numFmtId="0" fontId="21" fillId="24" borderId="0" xfId="0" applyFont="1" applyFill="1" applyBorder="1" applyAlignment="1" applyProtection="1">
      <alignment vertical="center"/>
    </xf>
    <xf numFmtId="0" fontId="24" fillId="25" borderId="32" xfId="0" applyFont="1" applyFill="1" applyBorder="1" applyAlignment="1" applyProtection="1">
      <alignment horizontal="center" vertical="center"/>
    </xf>
    <xf numFmtId="0" fontId="24" fillId="25" borderId="33" xfId="0" applyFont="1" applyFill="1" applyBorder="1" applyAlignment="1" applyProtection="1">
      <alignment horizontal="center" vertical="center"/>
    </xf>
    <xf numFmtId="38" fontId="21" fillId="26" borderId="34" xfId="47" applyFont="1" applyFill="1" applyBorder="1" applyAlignment="1" applyProtection="1">
      <alignment horizontal="center" vertical="center"/>
      <protection locked="0"/>
    </xf>
    <xf numFmtId="38" fontId="21" fillId="26" borderId="35" xfId="47" applyFont="1" applyFill="1" applyBorder="1" applyAlignment="1" applyProtection="1">
      <alignment horizontal="center" vertical="center"/>
      <protection locked="0"/>
    </xf>
    <xf numFmtId="38" fontId="21" fillId="27" borderId="36" xfId="47" applyFont="1" applyFill="1" applyBorder="1" applyAlignment="1" applyProtection="1">
      <alignment horizontal="center" vertical="center"/>
      <protection locked="0"/>
    </xf>
    <xf numFmtId="38" fontId="21" fillId="27" borderId="35" xfId="47" applyFont="1" applyFill="1" applyBorder="1" applyAlignment="1" applyProtection="1">
      <alignment horizontal="center" vertical="center"/>
      <protection locked="0"/>
    </xf>
    <xf numFmtId="38" fontId="21" fillId="26" borderId="36" xfId="47" applyFont="1" applyFill="1" applyBorder="1" applyAlignment="1" applyProtection="1">
      <alignment horizontal="center" vertical="center"/>
      <protection locked="0"/>
    </xf>
    <xf numFmtId="38" fontId="21" fillId="26" borderId="10" xfId="47" applyFont="1" applyFill="1" applyBorder="1" applyAlignment="1" applyProtection="1">
      <alignment horizontal="center" vertical="center"/>
      <protection locked="0"/>
    </xf>
    <xf numFmtId="38" fontId="21" fillId="27" borderId="33" xfId="47" applyFont="1" applyFill="1" applyBorder="1" applyAlignment="1" applyProtection="1">
      <alignment horizontal="center" vertical="center"/>
      <protection locked="0"/>
    </xf>
    <xf numFmtId="0" fontId="24" fillId="25" borderId="37" xfId="0" applyFont="1" applyFill="1" applyBorder="1" applyAlignment="1" applyProtection="1">
      <alignment horizontal="center" vertical="center"/>
    </xf>
    <xf numFmtId="0" fontId="22" fillId="24" borderId="0" xfId="0" applyFont="1" applyFill="1" applyAlignment="1" applyProtection="1">
      <alignment horizontal="left"/>
    </xf>
    <xf numFmtId="0" fontId="24" fillId="25" borderId="38" xfId="0" applyFont="1" applyFill="1" applyBorder="1" applyAlignment="1" applyProtection="1">
      <alignment horizontal="center" vertical="center"/>
    </xf>
    <xf numFmtId="0" fontId="24" fillId="25" borderId="39" xfId="0" applyFont="1" applyFill="1" applyBorder="1" applyAlignment="1" applyProtection="1">
      <alignment horizontal="center" vertical="center"/>
    </xf>
    <xf numFmtId="38" fontId="27" fillId="26" borderId="34" xfId="47" applyFont="1" applyFill="1" applyBorder="1" applyAlignment="1" applyProtection="1">
      <alignment horizontal="center" vertical="center"/>
      <protection locked="0"/>
    </xf>
    <xf numFmtId="38" fontId="27" fillId="26" borderId="35" xfId="47" applyFont="1" applyFill="1" applyBorder="1" applyAlignment="1" applyProtection="1">
      <alignment horizontal="center" vertical="center"/>
      <protection locked="0"/>
    </xf>
    <xf numFmtId="38" fontId="27" fillId="27" borderId="36" xfId="47" applyFont="1" applyFill="1" applyBorder="1" applyAlignment="1" applyProtection="1">
      <alignment horizontal="center" vertical="center"/>
      <protection locked="0"/>
    </xf>
    <xf numFmtId="38" fontId="27" fillId="27" borderId="35" xfId="47" applyFont="1" applyFill="1" applyBorder="1" applyAlignment="1" applyProtection="1">
      <alignment horizontal="center" vertical="center"/>
      <protection locked="0"/>
    </xf>
    <xf numFmtId="38" fontId="27" fillId="26" borderId="36" xfId="47" applyFont="1" applyFill="1" applyBorder="1" applyAlignment="1" applyProtection="1">
      <alignment horizontal="center" vertical="center"/>
      <protection locked="0"/>
    </xf>
    <xf numFmtId="38" fontId="27" fillId="27" borderId="10" xfId="47" applyFont="1" applyFill="1" applyBorder="1" applyAlignment="1" applyProtection="1">
      <alignment horizontal="center" vertical="center"/>
      <protection locked="0"/>
    </xf>
    <xf numFmtId="38" fontId="27" fillId="26" borderId="29" xfId="47" applyFont="1" applyFill="1" applyBorder="1" applyAlignment="1" applyProtection="1">
      <alignment horizontal="center" vertical="center"/>
      <protection locked="0"/>
    </xf>
    <xf numFmtId="38" fontId="27" fillId="26" borderId="31" xfId="47" applyFont="1" applyFill="1" applyBorder="1" applyAlignment="1" applyProtection="1">
      <alignment horizontal="center" vertical="center"/>
      <protection locked="0"/>
    </xf>
    <xf numFmtId="0" fontId="24" fillId="25" borderId="38" xfId="0" applyFont="1" applyFill="1" applyBorder="1" applyAlignment="1" applyProtection="1">
      <alignment horizontal="center"/>
    </xf>
    <xf numFmtId="0" fontId="24" fillId="28" borderId="39" xfId="0" applyFont="1" applyFill="1" applyBorder="1" applyAlignment="1" applyProtection="1">
      <alignment horizontal="left" vertical="center" wrapText="1"/>
    </xf>
    <xf numFmtId="38" fontId="27" fillId="26" borderId="33" xfId="47" applyFont="1" applyFill="1" applyBorder="1" applyAlignment="1" applyProtection="1">
      <alignment horizontal="center" vertical="center"/>
      <protection locked="0"/>
    </xf>
    <xf numFmtId="0" fontId="24" fillId="25" borderId="40" xfId="0" applyFont="1" applyFill="1" applyBorder="1" applyAlignment="1" applyProtection="1">
      <alignment horizontal="center" vertical="center" wrapText="1"/>
    </xf>
    <xf numFmtId="0" fontId="24" fillId="25" borderId="41" xfId="0" applyFont="1" applyFill="1" applyBorder="1" applyAlignment="1" applyProtection="1">
      <alignment horizontal="center" vertical="center"/>
    </xf>
    <xf numFmtId="27" fontId="21" fillId="26" borderId="42" xfId="0" applyNumberFormat="1" applyFont="1" applyFill="1" applyBorder="1" applyAlignment="1" applyProtection="1">
      <alignment horizontal="center" vertical="center"/>
      <protection locked="0"/>
    </xf>
    <xf numFmtId="0" fontId="21" fillId="26" borderId="43" xfId="0" applyFont="1" applyFill="1" applyBorder="1" applyAlignment="1" applyProtection="1">
      <alignment horizontal="center" vertical="center"/>
      <protection locked="0"/>
    </xf>
    <xf numFmtId="27" fontId="21" fillId="27" borderId="44" xfId="0" applyNumberFormat="1" applyFont="1" applyFill="1" applyBorder="1" applyAlignment="1" applyProtection="1">
      <alignment horizontal="center" vertical="center"/>
      <protection locked="0"/>
    </xf>
    <xf numFmtId="0" fontId="21" fillId="27" borderId="43" xfId="0" applyFont="1" applyFill="1" applyBorder="1" applyAlignment="1" applyProtection="1">
      <alignment horizontal="center" vertical="center"/>
      <protection locked="0"/>
    </xf>
    <xf numFmtId="27" fontId="21" fillId="26" borderId="44" xfId="0" applyNumberFormat="1" applyFont="1" applyFill="1" applyBorder="1" applyAlignment="1" applyProtection="1">
      <alignment horizontal="center" vertical="center"/>
      <protection locked="0"/>
    </xf>
    <xf numFmtId="27" fontId="21" fillId="26" borderId="45" xfId="0" applyNumberFormat="1" applyFont="1" applyFill="1" applyBorder="1" applyAlignment="1" applyProtection="1">
      <alignment horizontal="center" vertical="center"/>
      <protection locked="0"/>
    </xf>
    <xf numFmtId="0" fontId="21" fillId="26" borderId="46" xfId="0" applyFont="1" applyFill="1" applyBorder="1" applyAlignment="1" applyProtection="1">
      <alignment horizontal="center" vertical="center"/>
      <protection locked="0"/>
    </xf>
    <xf numFmtId="0" fontId="22" fillId="24" borderId="0" xfId="0" applyFont="1" applyFill="1" applyBorder="1" applyAlignment="1" applyProtection="1"/>
    <xf numFmtId="0" fontId="21" fillId="29" borderId="0" xfId="0" applyFont="1" applyFill="1" applyProtection="1">
      <alignment vertical="center"/>
    </xf>
    <xf numFmtId="0" fontId="23" fillId="29" borderId="0" xfId="0" applyFont="1" applyFill="1" applyBorder="1" applyAlignment="1" applyProtection="1">
      <alignment horizontal="left" vertical="center"/>
    </xf>
    <xf numFmtId="0" fontId="21" fillId="30" borderId="0" xfId="0" applyFont="1" applyFill="1" applyProtection="1">
      <alignment vertical="center"/>
    </xf>
    <xf numFmtId="0" fontId="22" fillId="30" borderId="0" xfId="0" applyFont="1" applyFill="1" applyBorder="1" applyAlignment="1" applyProtection="1">
      <alignment vertical="center" wrapText="1"/>
    </xf>
    <xf numFmtId="0" fontId="21" fillId="29" borderId="0" xfId="0" applyFont="1" applyFill="1" applyAlignment="1" applyProtection="1">
      <alignment horizontal="center" vertical="center"/>
    </xf>
    <xf numFmtId="0" fontId="28" fillId="29" borderId="0" xfId="0" applyFont="1" applyFill="1" applyAlignment="1" applyProtection="1">
      <alignment horizontal="left" vertical="center"/>
    </xf>
    <xf numFmtId="0" fontId="21" fillId="29" borderId="0" xfId="0" applyFont="1" applyFill="1" applyAlignment="1" applyProtection="1">
      <alignment horizontal="right" vertical="center"/>
    </xf>
    <xf numFmtId="0" fontId="23" fillId="29" borderId="0" xfId="0" applyFont="1" applyFill="1" applyBorder="1" applyAlignment="1" applyProtection="1">
      <alignment vertical="center"/>
    </xf>
    <xf numFmtId="0" fontId="22" fillId="30" borderId="0" xfId="0" applyFont="1" applyFill="1" applyBorder="1" applyAlignment="1" applyProtection="1">
      <alignment horizontal="center" vertical="center" wrapText="1"/>
    </xf>
    <xf numFmtId="0" fontId="22" fillId="30" borderId="47" xfId="0" applyFont="1" applyFill="1" applyBorder="1" applyAlignment="1" applyProtection="1">
      <alignment horizontal="center" vertical="center" wrapText="1"/>
    </xf>
    <xf numFmtId="0" fontId="28" fillId="30" borderId="0" xfId="0" applyFont="1" applyFill="1" applyBorder="1" applyAlignment="1" applyProtection="1">
      <alignment horizontal="right"/>
    </xf>
    <xf numFmtId="0" fontId="28" fillId="30" borderId="0" xfId="0" applyFont="1" applyFill="1" applyBorder="1" applyAlignment="1" applyProtection="1">
      <alignment horizontal="right" vertical="center"/>
    </xf>
    <xf numFmtId="0" fontId="21" fillId="30" borderId="48" xfId="0" applyFont="1" applyFill="1" applyBorder="1" applyAlignment="1" applyProtection="1">
      <alignment horizontal="center" vertical="center"/>
    </xf>
    <xf numFmtId="0" fontId="29" fillId="26" borderId="35" xfId="0" applyFont="1" applyFill="1" applyBorder="1" applyAlignment="1" applyProtection="1">
      <alignment horizontal="center" vertical="center" wrapText="1"/>
    </xf>
    <xf numFmtId="0" fontId="29" fillId="26" borderId="35" xfId="0" applyFont="1" applyFill="1" applyBorder="1" applyAlignment="1" applyProtection="1">
      <alignment horizontal="center" vertical="center"/>
    </xf>
    <xf numFmtId="0" fontId="29" fillId="31" borderId="35" xfId="37" applyNumberFormat="1" applyFont="1" applyFill="1" applyBorder="1" applyAlignment="1" applyProtection="1">
      <alignment horizontal="center" vertical="center" wrapText="1"/>
    </xf>
    <xf numFmtId="0" fontId="29" fillId="31" borderId="35" xfId="0" applyFont="1" applyFill="1" applyBorder="1" applyAlignment="1" applyProtection="1">
      <alignment horizontal="center" vertical="center"/>
    </xf>
    <xf numFmtId="0" fontId="29" fillId="31" borderId="10" xfId="0" applyFont="1" applyFill="1" applyBorder="1" applyAlignment="1" applyProtection="1">
      <alignment horizontal="center" vertical="center"/>
    </xf>
    <xf numFmtId="0" fontId="30" fillId="30" borderId="49" xfId="0" applyFont="1" applyFill="1" applyBorder="1" applyAlignment="1" applyProtection="1">
      <alignment horizontal="center" vertical="center"/>
    </xf>
    <xf numFmtId="0" fontId="29" fillId="29" borderId="0" xfId="0" applyFont="1" applyFill="1" applyAlignment="1" applyProtection="1">
      <alignment horizontal="left" vertical="center"/>
    </xf>
    <xf numFmtId="0" fontId="21" fillId="30" borderId="35" xfId="0" applyFont="1" applyFill="1" applyBorder="1" applyAlignment="1" applyProtection="1">
      <alignment horizontal="center" vertical="center"/>
    </xf>
    <xf numFmtId="0" fontId="21" fillId="30" borderId="35" xfId="0" applyFont="1" applyFill="1" applyBorder="1" applyAlignment="1" applyProtection="1">
      <alignment horizontal="center" vertical="center" wrapText="1"/>
    </xf>
    <xf numFmtId="0" fontId="21" fillId="30" borderId="18" xfId="0" applyFont="1" applyFill="1" applyBorder="1" applyAlignment="1" applyProtection="1">
      <alignment horizontal="center" vertical="center"/>
    </xf>
    <xf numFmtId="0" fontId="21" fillId="30" borderId="50" xfId="0" applyFont="1" applyFill="1" applyBorder="1" applyAlignment="1" applyProtection="1">
      <alignment horizontal="center" vertical="center"/>
    </xf>
    <xf numFmtId="0" fontId="28" fillId="30" borderId="51" xfId="0" applyFont="1" applyFill="1" applyBorder="1" applyAlignment="1" applyProtection="1">
      <alignment horizontal="center"/>
    </xf>
    <xf numFmtId="0" fontId="28" fillId="30" borderId="0" xfId="0" applyFont="1" applyFill="1" applyBorder="1" applyAlignment="1" applyProtection="1">
      <alignment horizontal="center" vertical="center"/>
    </xf>
    <xf numFmtId="0" fontId="25" fillId="29" borderId="52" xfId="0" applyFont="1" applyFill="1" applyBorder="1" applyAlignment="1" applyProtection="1">
      <alignment horizontal="right" vertical="center"/>
    </xf>
    <xf numFmtId="0" fontId="25" fillId="29" borderId="0" xfId="0" applyFont="1" applyFill="1" applyAlignment="1" applyProtection="1">
      <alignment horizontal="right" vertical="center"/>
    </xf>
    <xf numFmtId="0" fontId="21" fillId="30" borderId="53" xfId="0" applyFont="1" applyFill="1" applyBorder="1" applyAlignment="1" applyProtection="1">
      <alignment horizontal="center" vertical="center"/>
    </xf>
    <xf numFmtId="0" fontId="30" fillId="30" borderId="54" xfId="0" applyFont="1" applyFill="1" applyBorder="1" applyAlignment="1" applyProtection="1">
      <alignment horizontal="center" vertical="center"/>
    </xf>
    <xf numFmtId="0" fontId="29" fillId="29" borderId="0" xfId="0" applyFont="1" applyFill="1" applyAlignment="1" applyProtection="1">
      <alignment horizontal="center" vertical="center"/>
    </xf>
    <xf numFmtId="0" fontId="21" fillId="30" borderId="55" xfId="0" applyFont="1" applyFill="1" applyBorder="1" applyAlignment="1" applyProtection="1">
      <alignment horizontal="center" vertical="center"/>
    </xf>
    <xf numFmtId="0" fontId="24" fillId="29" borderId="0" xfId="0" applyFont="1" applyFill="1" applyBorder="1" applyAlignment="1" applyProtection="1">
      <alignment vertical="top" wrapText="1"/>
    </xf>
    <xf numFmtId="0" fontId="21" fillId="30" borderId="56" xfId="0" applyFont="1" applyFill="1" applyBorder="1" applyAlignment="1" applyProtection="1">
      <alignment horizontal="center" vertical="center"/>
    </xf>
    <xf numFmtId="0" fontId="21" fillId="30" borderId="57" xfId="0" applyFont="1" applyFill="1" applyBorder="1" applyAlignment="1" applyProtection="1">
      <alignment horizontal="center" vertical="center"/>
    </xf>
    <xf numFmtId="0" fontId="31" fillId="30" borderId="0" xfId="0" applyFont="1" applyFill="1" applyBorder="1" applyAlignment="1" applyProtection="1">
      <alignment horizontal="center" vertical="center" wrapText="1"/>
    </xf>
    <xf numFmtId="3" fontId="32" fillId="30" borderId="0" xfId="0" applyNumberFormat="1" applyFont="1" applyFill="1" applyBorder="1" applyAlignment="1" applyProtection="1">
      <alignment horizontal="center" vertical="center"/>
    </xf>
    <xf numFmtId="3" fontId="32" fillId="30" borderId="47" xfId="0" applyNumberFormat="1" applyFont="1" applyFill="1" applyBorder="1" applyAlignment="1" applyProtection="1">
      <alignment horizontal="center" vertical="center"/>
    </xf>
    <xf numFmtId="38" fontId="21" fillId="30" borderId="35" xfId="47" applyFont="1" applyFill="1" applyBorder="1" applyAlignment="1" applyProtection="1">
      <alignment horizontal="center" vertical="center"/>
    </xf>
    <xf numFmtId="38" fontId="21" fillId="30" borderId="35" xfId="47" applyFont="1" applyFill="1" applyBorder="1" applyAlignment="1" applyProtection="1">
      <alignment horizontal="center" vertical="center" wrapText="1"/>
    </xf>
    <xf numFmtId="38" fontId="25" fillId="29" borderId="52" xfId="0" applyNumberFormat="1" applyFont="1" applyFill="1" applyBorder="1" applyAlignment="1" applyProtection="1">
      <alignment horizontal="center" vertical="center"/>
    </xf>
    <xf numFmtId="38" fontId="25" fillId="29" borderId="0" xfId="0" applyNumberFormat="1" applyFont="1" applyFill="1" applyAlignment="1" applyProtection="1">
      <alignment horizontal="center" vertical="center"/>
    </xf>
    <xf numFmtId="0" fontId="33" fillId="30" borderId="35" xfId="0" applyFont="1" applyFill="1" applyBorder="1" applyAlignment="1" applyProtection="1">
      <alignment horizontal="center" vertical="center"/>
    </xf>
    <xf numFmtId="38" fontId="29" fillId="26" borderId="35" xfId="47" applyFont="1" applyFill="1" applyBorder="1" applyAlignment="1" applyProtection="1">
      <alignment horizontal="center" vertical="center"/>
    </xf>
    <xf numFmtId="38" fontId="29" fillId="31" borderId="35" xfId="47" applyFont="1" applyFill="1" applyBorder="1" applyAlignment="1" applyProtection="1">
      <alignment horizontal="center" vertical="center"/>
    </xf>
    <xf numFmtId="38" fontId="29" fillId="31" borderId="10" xfId="47" applyFont="1" applyFill="1" applyBorder="1" applyAlignment="1" applyProtection="1">
      <alignment horizontal="center" vertical="center"/>
    </xf>
    <xf numFmtId="38" fontId="29" fillId="30" borderId="54" xfId="47" applyFont="1" applyFill="1" applyBorder="1" applyAlignment="1" applyProtection="1">
      <alignment horizontal="center" vertical="center"/>
    </xf>
    <xf numFmtId="38" fontId="29" fillId="29" borderId="0" xfId="47" applyFont="1" applyFill="1" applyAlignment="1" applyProtection="1">
      <alignment horizontal="center" vertical="center"/>
    </xf>
    <xf numFmtId="10" fontId="21" fillId="30" borderId="35" xfId="48" applyNumberFormat="1" applyFont="1" applyFill="1" applyBorder="1" applyAlignment="1" applyProtection="1">
      <alignment horizontal="right" vertical="center"/>
    </xf>
    <xf numFmtId="38" fontId="21" fillId="30" borderId="35" xfId="47" applyFont="1" applyFill="1" applyBorder="1" applyAlignment="1" applyProtection="1">
      <alignment horizontal="right" vertical="center"/>
    </xf>
    <xf numFmtId="38" fontId="28" fillId="30" borderId="51" xfId="47" applyFont="1" applyFill="1" applyBorder="1" applyAlignment="1" applyProtection="1">
      <alignment horizontal="center"/>
    </xf>
    <xf numFmtId="38" fontId="28" fillId="30" borderId="0" xfId="47" applyFont="1" applyFill="1" applyBorder="1" applyAlignment="1" applyProtection="1">
      <alignment horizontal="center" vertical="center"/>
    </xf>
    <xf numFmtId="10" fontId="21" fillId="30" borderId="48" xfId="48" applyNumberFormat="1" applyFont="1" applyFill="1" applyBorder="1" applyAlignment="1" applyProtection="1">
      <alignment horizontal="right" vertical="center"/>
    </xf>
    <xf numFmtId="38" fontId="21" fillId="30" borderId="48" xfId="47" applyFont="1" applyFill="1" applyBorder="1" applyAlignment="1" applyProtection="1">
      <alignment horizontal="right" vertical="center"/>
    </xf>
    <xf numFmtId="3" fontId="22" fillId="30" borderId="0" xfId="0" applyNumberFormat="1" applyFont="1" applyFill="1" applyBorder="1" applyAlignment="1" applyProtection="1">
      <alignment horizontal="center" vertical="center"/>
    </xf>
    <xf numFmtId="3" fontId="22" fillId="30" borderId="47" xfId="0" applyNumberFormat="1" applyFont="1" applyFill="1" applyBorder="1" applyAlignment="1" applyProtection="1">
      <alignment horizontal="center" vertical="center"/>
    </xf>
    <xf numFmtId="0" fontId="25" fillId="29" borderId="52" xfId="0" applyFont="1" applyFill="1" applyBorder="1" applyProtection="1">
      <alignment vertical="center"/>
    </xf>
    <xf numFmtId="0" fontId="25" fillId="29" borderId="0" xfId="0" applyFont="1" applyFill="1" applyProtection="1">
      <alignment vertical="center"/>
    </xf>
    <xf numFmtId="0" fontId="21" fillId="30" borderId="55" xfId="0" applyFont="1" applyFill="1" applyBorder="1" applyAlignment="1" applyProtection="1">
      <alignment horizontal="left" vertical="center"/>
    </xf>
    <xf numFmtId="0" fontId="21" fillId="30" borderId="0" xfId="0" applyFont="1" applyFill="1" applyBorder="1" applyProtection="1">
      <alignment vertical="center"/>
    </xf>
    <xf numFmtId="0" fontId="21" fillId="30" borderId="47" xfId="0" applyFont="1" applyFill="1" applyBorder="1" applyProtection="1">
      <alignment vertical="center"/>
    </xf>
    <xf numFmtId="0" fontId="28" fillId="30" borderId="0" xfId="0" applyFont="1" applyFill="1" applyBorder="1" applyAlignment="1" applyProtection="1">
      <alignment horizontal="left"/>
    </xf>
    <xf numFmtId="0" fontId="28" fillId="30" borderId="0" xfId="0" applyFont="1" applyFill="1" applyBorder="1" applyAlignment="1" applyProtection="1">
      <alignment horizontal="left" vertical="center"/>
    </xf>
    <xf numFmtId="0" fontId="21" fillId="29" borderId="52" xfId="0" applyFont="1" applyFill="1" applyBorder="1" applyProtection="1">
      <alignment vertical="center"/>
    </xf>
    <xf numFmtId="38" fontId="29" fillId="30" borderId="58" xfId="47" applyFont="1" applyFill="1" applyBorder="1" applyAlignment="1" applyProtection="1">
      <alignment horizontal="center" vertical="center"/>
    </xf>
    <xf numFmtId="0" fontId="24" fillId="29" borderId="0" xfId="0" applyFont="1" applyFill="1" applyAlignment="1" applyProtection="1">
      <alignment vertical="top" wrapText="1"/>
    </xf>
    <xf numFmtId="0" fontId="0" fillId="0" borderId="0" xfId="34" applyFont="1">
      <alignment vertical="center"/>
    </xf>
    <xf numFmtId="0" fontId="34" fillId="0" borderId="59" xfId="34" applyFont="1" applyBorder="1" applyAlignment="1">
      <alignment horizontal="center" vertical="center"/>
    </xf>
    <xf numFmtId="0" fontId="1" fillId="0" borderId="0" xfId="34" applyFont="1" applyBorder="1" applyAlignment="1">
      <alignment horizontal="left" vertical="center" wrapText="1"/>
    </xf>
    <xf numFmtId="0" fontId="35" fillId="0" borderId="0" xfId="34" applyFont="1">
      <alignment vertical="center"/>
    </xf>
    <xf numFmtId="0" fontId="1" fillId="0" borderId="0" xfId="34" applyFont="1" applyBorder="1" applyAlignment="1">
      <alignment vertical="center"/>
    </xf>
    <xf numFmtId="0" fontId="0" fillId="0" borderId="0" xfId="34" applyFont="1" applyAlignment="1">
      <alignment vertical="center"/>
    </xf>
    <xf numFmtId="0" fontId="36" fillId="24" borderId="24" xfId="0" applyFont="1" applyFill="1" applyBorder="1" applyAlignment="1" applyProtection="1">
      <alignment horizontal="right" vertical="center"/>
    </xf>
    <xf numFmtId="0" fontId="36" fillId="24" borderId="0" xfId="0" applyFont="1" applyFill="1" applyAlignment="1" applyProtection="1">
      <alignment horizontal="right" vertical="center"/>
    </xf>
    <xf numFmtId="0" fontId="21" fillId="25" borderId="35" xfId="0" applyFont="1" applyFill="1" applyBorder="1" applyAlignment="1" applyProtection="1">
      <alignment horizontal="center" vertical="center" wrapText="1"/>
    </xf>
    <xf numFmtId="27" fontId="21" fillId="26" borderId="35" xfId="0" applyNumberFormat="1" applyFont="1" applyFill="1" applyBorder="1" applyAlignment="1" applyProtection="1">
      <alignment horizontal="center" vertical="center"/>
    </xf>
    <xf numFmtId="0" fontId="21" fillId="26" borderId="35" xfId="0" applyFont="1" applyFill="1" applyBorder="1" applyAlignment="1" applyProtection="1">
      <alignment horizontal="center" vertical="center"/>
    </xf>
    <xf numFmtId="0" fontId="22" fillId="24" borderId="24" xfId="0" applyFont="1" applyFill="1" applyBorder="1" applyAlignment="1" applyProtection="1">
      <alignment horizontal="right"/>
    </xf>
    <xf numFmtId="0" fontId="21" fillId="25" borderId="35" xfId="0" applyFont="1" applyFill="1" applyBorder="1" applyAlignment="1" applyProtection="1">
      <alignment horizontal="center" vertical="center"/>
    </xf>
    <xf numFmtId="0" fontId="21" fillId="26" borderId="35" xfId="0" applyFont="1" applyFill="1" applyBorder="1" applyAlignment="1" applyProtection="1">
      <alignment horizontal="center"/>
    </xf>
    <xf numFmtId="0" fontId="21" fillId="26" borderId="35" xfId="0" applyNumberFormat="1" applyFont="1" applyFill="1" applyBorder="1" applyAlignment="1" applyProtection="1">
      <alignment horizontal="center" vertical="top"/>
    </xf>
    <xf numFmtId="0" fontId="36" fillId="24" borderId="0" xfId="0" applyFont="1" applyFill="1" applyAlignment="1" applyProtection="1">
      <alignment horizontal="left" vertical="center"/>
    </xf>
    <xf numFmtId="0" fontId="19" fillId="24" borderId="0" xfId="0" applyFont="1" applyFill="1" applyAlignment="1" applyProtection="1">
      <alignment horizontal="left"/>
    </xf>
    <xf numFmtId="0" fontId="21" fillId="25" borderId="35" xfId="0" applyFont="1" applyFill="1" applyBorder="1" applyAlignment="1" applyProtection="1">
      <alignment horizontal="center"/>
    </xf>
    <xf numFmtId="0" fontId="21" fillId="25" borderId="35" xfId="0" applyFont="1" applyFill="1" applyBorder="1" applyAlignment="1" applyProtection="1">
      <alignment horizontal="center" vertical="top"/>
    </xf>
    <xf numFmtId="0" fontId="37" fillId="32" borderId="35" xfId="0" applyFont="1" applyFill="1" applyBorder="1" applyAlignment="1" applyProtection="1">
      <alignment horizontal="center" vertical="center" wrapText="1"/>
    </xf>
    <xf numFmtId="0" fontId="37" fillId="32" borderId="35" xfId="0" applyFont="1" applyFill="1" applyBorder="1" applyAlignment="1" applyProtection="1">
      <alignment horizontal="center" vertical="center"/>
    </xf>
    <xf numFmtId="0" fontId="19" fillId="24" borderId="0" xfId="0" applyFont="1" applyFill="1" applyProtection="1">
      <alignment vertical="center"/>
    </xf>
    <xf numFmtId="0" fontId="38" fillId="0" borderId="60" xfId="37" applyFont="1" applyFill="1" applyBorder="1" applyAlignment="1" applyProtection="1">
      <alignment horizontal="center" vertical="center"/>
      <protection locked="0"/>
    </xf>
    <xf numFmtId="0" fontId="38" fillId="0" borderId="61" xfId="37" applyFont="1" applyFill="1" applyBorder="1" applyAlignment="1" applyProtection="1">
      <alignment horizontal="center" vertical="center"/>
      <protection locked="0"/>
    </xf>
    <xf numFmtId="0" fontId="29" fillId="24" borderId="0" xfId="0" applyFont="1" applyFill="1" applyAlignment="1" applyProtection="1">
      <alignment horizontal="center" vertical="center"/>
    </xf>
    <xf numFmtId="0" fontId="38" fillId="0" borderId="62" xfId="37" applyFont="1" applyFill="1" applyBorder="1" applyAlignment="1" applyProtection="1">
      <alignment horizontal="center" vertical="center"/>
      <protection locked="0"/>
    </xf>
    <xf numFmtId="0" fontId="38" fillId="0" borderId="63" xfId="37" applyFont="1" applyFill="1" applyBorder="1" applyAlignment="1" applyProtection="1">
      <alignment horizontal="center" vertical="center"/>
      <protection locked="0"/>
    </xf>
    <xf numFmtId="0" fontId="21" fillId="24" borderId="0" xfId="0" applyFont="1" applyFill="1" applyAlignment="1" applyProtection="1">
      <alignment horizontal="center" vertical="center"/>
    </xf>
    <xf numFmtId="0" fontId="38" fillId="0" borderId="64" xfId="37" applyFont="1" applyFill="1" applyBorder="1" applyAlignment="1" applyProtection="1">
      <alignment horizontal="center" vertical="center"/>
      <protection locked="0"/>
    </xf>
    <xf numFmtId="0" fontId="38" fillId="0" borderId="65" xfId="37" applyFont="1" applyFill="1" applyBorder="1" applyAlignment="1" applyProtection="1">
      <alignment horizontal="center" vertical="center"/>
      <protection locked="0"/>
    </xf>
    <xf numFmtId="0" fontId="38" fillId="24" borderId="66" xfId="0" applyFont="1" applyFill="1" applyBorder="1" applyAlignment="1" applyProtection="1">
      <alignment horizontal="left" vertical="center"/>
    </xf>
    <xf numFmtId="0" fontId="29" fillId="32" borderId="35" xfId="0" applyFont="1" applyFill="1" applyBorder="1" applyAlignment="1" applyProtection="1">
      <alignment horizontal="center" vertical="center"/>
    </xf>
    <xf numFmtId="0" fontId="38" fillId="24" borderId="0" xfId="0" applyFont="1" applyFill="1" applyBorder="1" applyAlignment="1" applyProtection="1">
      <alignment horizontal="left" vertical="center"/>
    </xf>
    <xf numFmtId="0" fontId="37" fillId="26" borderId="35" xfId="0" applyFont="1" applyFill="1" applyBorder="1" applyAlignment="1" applyProtection="1">
      <alignment horizontal="center" vertical="center"/>
      <protection locked="0"/>
    </xf>
    <xf numFmtId="0" fontId="37" fillId="32" borderId="35" xfId="0" applyFont="1" applyFill="1" applyBorder="1" applyAlignment="1" applyProtection="1">
      <alignment horizontal="center" vertical="center"/>
      <protection locked="0"/>
    </xf>
    <xf numFmtId="0" fontId="21" fillId="24" borderId="35" xfId="0" applyFont="1" applyFill="1" applyBorder="1" applyProtection="1">
      <alignment vertical="center"/>
    </xf>
    <xf numFmtId="0" fontId="39" fillId="24" borderId="0" xfId="0" applyFont="1" applyFill="1" applyAlignment="1" applyProtection="1">
      <alignment vertical="center"/>
    </xf>
    <xf numFmtId="27" fontId="37" fillId="26" borderId="35" xfId="0" applyNumberFormat="1" applyFont="1" applyFill="1" applyBorder="1" applyAlignment="1" applyProtection="1">
      <alignment horizontal="center" vertical="center"/>
    </xf>
    <xf numFmtId="0" fontId="37" fillId="26" borderId="35" xfId="0" applyFont="1" applyFill="1" applyBorder="1" applyAlignment="1" applyProtection="1">
      <alignment horizontal="center" vertical="center"/>
    </xf>
    <xf numFmtId="35" fontId="37" fillId="32" borderId="35" xfId="0" quotePrefix="1" applyNumberFormat="1" applyFont="1" applyFill="1" applyBorder="1" applyAlignment="1" applyProtection="1">
      <alignment horizontal="center" vertical="center"/>
    </xf>
    <xf numFmtId="0" fontId="21" fillId="24" borderId="0" xfId="0" applyFont="1" applyFill="1" applyBorder="1" applyAlignment="1" applyProtection="1">
      <alignment horizontal="left" vertical="top" wrapText="1"/>
    </xf>
    <xf numFmtId="0" fontId="40" fillId="26" borderId="35" xfId="0" applyFont="1" applyFill="1" applyBorder="1" applyAlignment="1" applyProtection="1">
      <alignment horizontal="center" vertical="center"/>
    </xf>
    <xf numFmtId="0" fontId="41" fillId="26" borderId="35" xfId="0" applyFont="1" applyFill="1" applyBorder="1" applyAlignment="1" applyProtection="1">
      <alignment horizontal="center" vertical="center"/>
    </xf>
    <xf numFmtId="0" fontId="42" fillId="24" borderId="0" xfId="0" applyFont="1" applyFill="1" applyBorder="1" applyAlignment="1" applyProtection="1">
      <alignment vertical="center"/>
    </xf>
    <xf numFmtId="0" fontId="21" fillId="24" borderId="24" xfId="0" applyFont="1" applyFill="1" applyBorder="1" applyProtection="1">
      <alignment vertical="center"/>
    </xf>
    <xf numFmtId="3" fontId="29" fillId="26" borderId="35" xfId="0" applyNumberFormat="1" applyFont="1" applyFill="1" applyBorder="1" applyAlignment="1" applyProtection="1">
      <alignment horizontal="center" vertical="center"/>
    </xf>
    <xf numFmtId="0" fontId="40" fillId="24" borderId="0" xfId="0" applyFont="1" applyFill="1" applyAlignment="1" applyProtection="1">
      <alignment horizontal="center" vertical="center"/>
    </xf>
    <xf numFmtId="0" fontId="21" fillId="32" borderId="0" xfId="0" applyFont="1" applyFill="1" applyProtection="1">
      <alignment vertical="center"/>
    </xf>
    <xf numFmtId="0" fontId="21" fillId="32" borderId="0" xfId="0" applyFont="1" applyFill="1" applyAlignment="1" applyProtection="1">
      <alignment horizontal="right" vertical="center"/>
    </xf>
    <xf numFmtId="0" fontId="36" fillId="32" borderId="24" xfId="0" applyFont="1" applyFill="1" applyBorder="1" applyAlignment="1" applyProtection="1">
      <alignment vertical="center"/>
    </xf>
    <xf numFmtId="0" fontId="25" fillId="32" borderId="0" xfId="0" applyFont="1" applyFill="1" applyProtection="1">
      <alignment vertical="center"/>
    </xf>
    <xf numFmtId="0" fontId="40" fillId="0" borderId="67" xfId="0" applyFont="1" applyFill="1" applyBorder="1" applyAlignment="1" applyProtection="1">
      <alignment horizontal="center" vertical="center"/>
    </xf>
    <xf numFmtId="0" fontId="21" fillId="32" borderId="0" xfId="0" applyFont="1" applyFill="1" applyBorder="1" applyAlignment="1" applyProtection="1">
      <alignment horizontal="left" vertical="center" wrapText="1"/>
    </xf>
    <xf numFmtId="0" fontId="21" fillId="32" borderId="0" xfId="0" applyFont="1" applyFill="1" applyAlignment="1" applyProtection="1">
      <alignment horizontal="left" vertical="center" wrapText="1"/>
    </xf>
    <xf numFmtId="0" fontId="21" fillId="25" borderId="18" xfId="0" applyFont="1" applyFill="1" applyBorder="1" applyAlignment="1" applyProtection="1">
      <alignment horizontal="center" vertical="center"/>
    </xf>
    <xf numFmtId="0" fontId="21" fillId="25" borderId="50" xfId="0" applyFont="1" applyFill="1" applyBorder="1" applyAlignment="1" applyProtection="1">
      <alignment horizontal="center" vertical="center"/>
    </xf>
    <xf numFmtId="0" fontId="21" fillId="27" borderId="35" xfId="0" applyFont="1" applyFill="1" applyBorder="1" applyAlignment="1" applyProtection="1">
      <alignment horizontal="center" vertical="center" wrapText="1"/>
    </xf>
    <xf numFmtId="0" fontId="21" fillId="32" borderId="0" xfId="0" applyFont="1" applyFill="1" applyAlignment="1" applyProtection="1">
      <alignment horizontal="center" vertical="center" wrapText="1"/>
    </xf>
    <xf numFmtId="0" fontId="19" fillId="32" borderId="0" xfId="0" applyFont="1" applyFill="1" applyAlignment="1" applyProtection="1">
      <alignment horizontal="center" vertical="center"/>
    </xf>
    <xf numFmtId="27" fontId="21" fillId="33" borderId="35" xfId="0" applyNumberFormat="1" applyFont="1" applyFill="1" applyBorder="1" applyAlignment="1" applyProtection="1">
      <alignment horizontal="center" vertical="center"/>
      <protection locked="0"/>
    </xf>
    <xf numFmtId="0" fontId="21" fillId="33" borderId="35" xfId="0" applyFont="1" applyFill="1" applyBorder="1" applyAlignment="1" applyProtection="1">
      <alignment horizontal="center" vertical="center"/>
      <protection locked="0"/>
    </xf>
    <xf numFmtId="27" fontId="21" fillId="26" borderId="35" xfId="0" applyNumberFormat="1" applyFont="1" applyFill="1" applyBorder="1" applyAlignment="1" applyProtection="1">
      <alignment horizontal="center" vertical="center"/>
      <protection locked="0"/>
    </xf>
    <xf numFmtId="0" fontId="21" fillId="26" borderId="35" xfId="0" applyFont="1" applyFill="1" applyBorder="1" applyAlignment="1" applyProtection="1">
      <alignment horizontal="center" vertical="center"/>
      <protection locked="0"/>
    </xf>
    <xf numFmtId="0" fontId="22" fillId="32" borderId="0" xfId="0" applyFont="1" applyFill="1" applyBorder="1" applyAlignment="1" applyProtection="1">
      <alignment horizontal="right"/>
    </xf>
    <xf numFmtId="0" fontId="22" fillId="32" borderId="24" xfId="0" applyFont="1" applyFill="1" applyBorder="1" applyAlignment="1" applyProtection="1">
      <alignment horizontal="right"/>
    </xf>
    <xf numFmtId="0" fontId="36" fillId="32" borderId="0" xfId="0" applyFont="1" applyFill="1" applyAlignment="1" applyProtection="1">
      <alignment horizontal="right" vertical="center"/>
    </xf>
    <xf numFmtId="0" fontId="24" fillId="32" borderId="0" xfId="0" applyFont="1" applyFill="1" applyProtection="1">
      <alignment vertical="center"/>
    </xf>
    <xf numFmtId="0" fontId="21" fillId="25" borderId="56" xfId="0" applyFont="1" applyFill="1" applyBorder="1" applyAlignment="1" applyProtection="1">
      <alignment horizontal="center" vertical="center"/>
    </xf>
    <xf numFmtId="0" fontId="21" fillId="25" borderId="57" xfId="0" applyFont="1" applyFill="1" applyBorder="1" applyAlignment="1" applyProtection="1">
      <alignment horizontal="center" vertical="center"/>
    </xf>
    <xf numFmtId="0" fontId="21" fillId="33" borderId="35" xfId="0" applyFont="1" applyFill="1" applyBorder="1" applyAlignment="1" applyProtection="1">
      <alignment horizontal="center" vertical="center" wrapText="1"/>
    </xf>
    <xf numFmtId="0" fontId="21" fillId="33" borderId="35" xfId="0" applyFont="1" applyFill="1" applyBorder="1" applyAlignment="1" applyProtection="1">
      <alignment horizontal="center" vertical="center"/>
    </xf>
    <xf numFmtId="0" fontId="22" fillId="32" borderId="0" xfId="0" applyFont="1" applyFill="1" applyBorder="1" applyAlignment="1" applyProtection="1">
      <alignment horizontal="left"/>
    </xf>
    <xf numFmtId="0" fontId="22" fillId="32" borderId="24" xfId="0" applyFont="1" applyFill="1" applyBorder="1" applyAlignment="1" applyProtection="1">
      <alignment horizontal="left"/>
    </xf>
    <xf numFmtId="0" fontId="19" fillId="32" borderId="0" xfId="0" applyFont="1" applyFill="1" applyProtection="1">
      <alignment vertical="center"/>
    </xf>
    <xf numFmtId="0" fontId="21" fillId="28" borderId="35" xfId="0" applyFont="1" applyFill="1" applyBorder="1" applyAlignment="1" applyProtection="1">
      <alignment horizontal="center" vertical="center"/>
    </xf>
    <xf numFmtId="38" fontId="21" fillId="32" borderId="0" xfId="47" applyFont="1" applyFill="1" applyAlignment="1" applyProtection="1">
      <alignment horizontal="center" vertical="center"/>
    </xf>
    <xf numFmtId="0" fontId="19" fillId="32" borderId="52" xfId="0" applyFont="1" applyFill="1" applyBorder="1" applyAlignment="1" applyProtection="1">
      <alignment horizontal="left" vertical="center"/>
    </xf>
    <xf numFmtId="38" fontId="21" fillId="33" borderId="35" xfId="47" applyFont="1" applyFill="1" applyBorder="1" applyAlignment="1" applyProtection="1">
      <alignment horizontal="center" vertical="center"/>
    </xf>
    <xf numFmtId="38" fontId="21" fillId="33" borderId="35" xfId="47" applyFont="1" applyFill="1" applyBorder="1" applyAlignment="1" applyProtection="1">
      <alignment horizontal="center" vertical="center"/>
      <protection locked="0"/>
    </xf>
    <xf numFmtId="38" fontId="21" fillId="26" borderId="35" xfId="47" applyFont="1" applyFill="1" applyBorder="1" applyAlignment="1" applyProtection="1">
      <alignment horizontal="center" vertical="center"/>
    </xf>
    <xf numFmtId="0" fontId="36" fillId="32" borderId="0" xfId="0" applyFont="1" applyFill="1" applyAlignment="1" applyProtection="1">
      <alignment horizontal="left" vertical="center"/>
    </xf>
    <xf numFmtId="0" fontId="21" fillId="28" borderId="35" xfId="0" applyFont="1" applyFill="1" applyBorder="1" applyAlignment="1" applyProtection="1">
      <alignment horizontal="center" vertical="center" wrapText="1"/>
    </xf>
    <xf numFmtId="0" fontId="21" fillId="32" borderId="0" xfId="0" applyFont="1" applyFill="1" applyAlignment="1" applyProtection="1">
      <alignment horizontal="center" vertical="center"/>
    </xf>
    <xf numFmtId="0" fontId="36" fillId="32" borderId="0" xfId="0" applyFont="1" applyFill="1" applyBorder="1" applyAlignment="1" applyProtection="1">
      <alignment vertical="center"/>
    </xf>
    <xf numFmtId="38" fontId="21" fillId="27" borderId="35" xfId="47" applyFont="1" applyFill="1" applyBorder="1" applyAlignment="1" applyProtection="1">
      <alignment horizontal="center" vertical="center"/>
    </xf>
    <xf numFmtId="38" fontId="21" fillId="32" borderId="0" xfId="0" applyNumberFormat="1" applyFont="1" applyFill="1" applyProtection="1">
      <alignment vertical="center"/>
    </xf>
    <xf numFmtId="0" fontId="24" fillId="32" borderId="0" xfId="0" applyFont="1" applyFill="1" applyBorder="1" applyAlignment="1" applyProtection="1">
      <alignment vertical="center"/>
    </xf>
    <xf numFmtId="0" fontId="21" fillId="32" borderId="0" xfId="0" applyFont="1" applyFill="1" applyBorder="1" applyAlignment="1" applyProtection="1">
      <alignment vertical="center" wrapText="1"/>
    </xf>
    <xf numFmtId="0" fontId="21" fillId="32" borderId="0" xfId="0" applyFont="1" applyFill="1" applyAlignment="1" applyProtection="1">
      <alignment vertical="center" wrapText="1"/>
    </xf>
    <xf numFmtId="0" fontId="21" fillId="32" borderId="19" xfId="0" applyFont="1" applyFill="1" applyBorder="1" applyAlignment="1" applyProtection="1">
      <alignment vertical="center"/>
    </xf>
    <xf numFmtId="0" fontId="28" fillId="29" borderId="0" xfId="0" applyFont="1" applyFill="1" applyBorder="1" applyAlignment="1" applyProtection="1">
      <alignment horizontal="left" vertical="center"/>
    </xf>
    <xf numFmtId="0" fontId="24" fillId="29" borderId="0" xfId="0" applyFont="1" applyFill="1" applyAlignment="1" applyProtection="1">
      <alignment horizontal="left" vertical="center"/>
    </xf>
    <xf numFmtId="0" fontId="24" fillId="30" borderId="0" xfId="0" applyFont="1" applyFill="1" applyAlignment="1" applyProtection="1">
      <alignment horizontal="left" vertical="center"/>
    </xf>
    <xf numFmtId="0" fontId="43" fillId="29" borderId="0" xfId="0" applyFont="1" applyFill="1" applyBorder="1" applyAlignment="1" applyProtection="1">
      <alignment vertical="top" wrapText="1"/>
    </xf>
    <xf numFmtId="0" fontId="43" fillId="29" borderId="35" xfId="0" applyFont="1" applyFill="1" applyBorder="1" applyAlignment="1" applyProtection="1">
      <alignment horizontal="left" vertical="top" wrapText="1"/>
    </xf>
    <xf numFmtId="0" fontId="25" fillId="30" borderId="0" xfId="0" applyFont="1" applyFill="1" applyProtection="1">
      <alignment vertical="center"/>
    </xf>
    <xf numFmtId="0" fontId="0" fillId="30" borderId="35" xfId="0" applyFont="1" applyFill="1" applyBorder="1" applyAlignment="1" applyProtection="1">
      <alignment horizontal="center" vertical="center"/>
    </xf>
    <xf numFmtId="38" fontId="25" fillId="30" borderId="0" xfId="0" applyNumberFormat="1" applyFont="1" applyFill="1" applyBorder="1" applyAlignment="1" applyProtection="1">
      <alignment horizontal="right" vertical="center"/>
    </xf>
    <xf numFmtId="38" fontId="0" fillId="30" borderId="35" xfId="47" applyFont="1" applyFill="1" applyBorder="1" applyAlignment="1" applyProtection="1">
      <alignment horizontal="center" vertical="center"/>
    </xf>
    <xf numFmtId="0" fontId="25" fillId="30" borderId="0" xfId="0" applyFont="1" applyFill="1" applyBorder="1" applyAlignment="1" applyProtection="1">
      <alignment horizontal="left" vertical="center"/>
    </xf>
    <xf numFmtId="38" fontId="0" fillId="30" borderId="68" xfId="47" applyFont="1" applyFill="1" applyBorder="1" applyAlignment="1" applyProtection="1">
      <alignment horizontal="center" vertical="center"/>
    </xf>
    <xf numFmtId="0" fontId="24" fillId="30" borderId="0" xfId="0" applyFont="1" applyFill="1" applyProtection="1">
      <alignment vertical="center"/>
    </xf>
    <xf numFmtId="0" fontId="24" fillId="30" borderId="0" xfId="0" applyFont="1" applyFill="1" applyAlignment="1" applyProtection="1">
      <alignment horizontal="center" vertical="center"/>
    </xf>
    <xf numFmtId="0" fontId="24" fillId="30" borderId="0" xfId="0" applyFont="1" applyFill="1" applyBorder="1" applyAlignment="1" applyProtection="1">
      <alignment vertical="top" wrapText="1"/>
    </xf>
    <xf numFmtId="0" fontId="24" fillId="29" borderId="0" xfId="0" applyFont="1" applyFill="1" applyBorder="1" applyAlignment="1" applyProtection="1">
      <alignment vertical="center"/>
    </xf>
    <xf numFmtId="0" fontId="21" fillId="33" borderId="0" xfId="0" applyFont="1" applyFill="1">
      <alignment vertical="center"/>
    </xf>
    <xf numFmtId="0" fontId="21" fillId="33" borderId="0" xfId="0" applyFont="1" applyFill="1" applyProtection="1">
      <alignment vertical="center"/>
    </xf>
    <xf numFmtId="0" fontId="36" fillId="33" borderId="24" xfId="0" applyFont="1" applyFill="1" applyBorder="1" applyAlignment="1" applyProtection="1">
      <alignment vertical="center"/>
    </xf>
    <xf numFmtId="0" fontId="21" fillId="33" borderId="18" xfId="0" applyFont="1" applyFill="1" applyBorder="1" applyProtection="1">
      <alignment vertical="center"/>
    </xf>
    <xf numFmtId="0" fontId="21" fillId="33" borderId="19" xfId="0" applyFont="1" applyFill="1" applyBorder="1">
      <alignment vertical="center"/>
    </xf>
    <xf numFmtId="0" fontId="21" fillId="33" borderId="19" xfId="0" applyFont="1" applyFill="1" applyBorder="1" applyProtection="1">
      <alignment vertical="center"/>
    </xf>
    <xf numFmtId="0" fontId="21" fillId="33" borderId="50" xfId="0" applyFont="1" applyFill="1" applyBorder="1" applyProtection="1">
      <alignment vertical="center"/>
    </xf>
    <xf numFmtId="0" fontId="44" fillId="33" borderId="19" xfId="0" applyFont="1" applyFill="1" applyBorder="1" applyAlignment="1" applyProtection="1">
      <alignment horizontal="left" vertical="center"/>
    </xf>
    <xf numFmtId="0" fontId="28" fillId="33" borderId="19" xfId="0" applyFont="1" applyFill="1" applyBorder="1" applyAlignment="1" applyProtection="1">
      <alignment horizontal="left" vertical="center"/>
    </xf>
    <xf numFmtId="0" fontId="21" fillId="33" borderId="19" xfId="0" applyFont="1" applyFill="1" applyBorder="1" applyAlignment="1" applyProtection="1">
      <alignment vertical="top" wrapText="1"/>
    </xf>
    <xf numFmtId="0" fontId="21" fillId="33" borderId="50" xfId="0" applyFont="1" applyFill="1" applyBorder="1" applyAlignment="1" applyProtection="1">
      <alignment horizontal="left" vertical="top" wrapText="1"/>
    </xf>
    <xf numFmtId="0" fontId="21" fillId="33" borderId="0" xfId="0" applyFont="1" applyFill="1" applyBorder="1" applyAlignment="1" applyProtection="1">
      <alignment vertical="top"/>
    </xf>
    <xf numFmtId="0" fontId="22" fillId="33" borderId="0" xfId="0" applyFont="1" applyFill="1" applyBorder="1" applyAlignment="1" applyProtection="1">
      <alignment horizontal="right"/>
    </xf>
    <xf numFmtId="0" fontId="22" fillId="33" borderId="24" xfId="0" applyFont="1" applyFill="1" applyBorder="1" applyAlignment="1" applyProtection="1">
      <alignment horizontal="right"/>
    </xf>
    <xf numFmtId="0" fontId="21" fillId="33" borderId="69" xfId="0" applyFont="1" applyFill="1" applyBorder="1" applyProtection="1">
      <alignment vertical="center"/>
    </xf>
    <xf numFmtId="0" fontId="35" fillId="33" borderId="0" xfId="0" applyFont="1" applyFill="1" applyBorder="1" applyAlignment="1" applyProtection="1">
      <alignment vertical="center"/>
    </xf>
    <xf numFmtId="38" fontId="21" fillId="33" borderId="0" xfId="47" applyFont="1" applyFill="1" applyAlignment="1" applyProtection="1">
      <alignment horizontal="center" vertical="center"/>
    </xf>
    <xf numFmtId="38" fontId="21" fillId="33" borderId="67" xfId="47" applyFont="1" applyFill="1" applyBorder="1" applyAlignment="1" applyProtection="1">
      <alignment horizontal="center" vertical="center"/>
      <protection locked="0"/>
    </xf>
    <xf numFmtId="38" fontId="21" fillId="33" borderId="62" xfId="47" applyFont="1" applyFill="1" applyBorder="1" applyAlignment="1" applyProtection="1">
      <alignment vertical="center" wrapText="1"/>
    </xf>
    <xf numFmtId="38" fontId="21" fillId="33" borderId="63" xfId="47" applyFont="1" applyFill="1" applyBorder="1" applyAlignment="1" applyProtection="1">
      <alignment horizontal="center" vertical="center" wrapText="1"/>
    </xf>
    <xf numFmtId="27" fontId="21" fillId="33" borderId="67" xfId="0" applyNumberFormat="1" applyFont="1" applyFill="1" applyBorder="1" applyAlignment="1" applyProtection="1">
      <alignment horizontal="center" vertical="center"/>
      <protection locked="0"/>
    </xf>
    <xf numFmtId="38" fontId="21" fillId="33" borderId="0" xfId="47" applyFont="1" applyFill="1" applyAlignment="1" applyProtection="1">
      <alignment vertical="top" wrapText="1"/>
    </xf>
    <xf numFmtId="0" fontId="45" fillId="33" borderId="0" xfId="0" applyFont="1" applyFill="1" applyBorder="1" applyAlignment="1" applyProtection="1">
      <alignment horizontal="center" vertical="center"/>
    </xf>
    <xf numFmtId="38" fontId="21" fillId="33" borderId="70" xfId="47" applyFont="1" applyFill="1" applyBorder="1" applyAlignment="1" applyProtection="1">
      <alignment horizontal="center" vertical="center" wrapText="1"/>
    </xf>
    <xf numFmtId="38" fontId="21" fillId="33" borderId="0" xfId="47" applyFont="1" applyFill="1" applyBorder="1" applyAlignment="1" applyProtection="1">
      <alignment vertical="top" wrapText="1"/>
    </xf>
    <xf numFmtId="38" fontId="21" fillId="33" borderId="52" xfId="47" applyFont="1" applyFill="1" applyBorder="1" applyProtection="1">
      <alignment vertical="center"/>
    </xf>
    <xf numFmtId="38" fontId="21" fillId="33" borderId="69" xfId="47" applyFont="1" applyFill="1" applyBorder="1" applyProtection="1">
      <alignment vertical="center"/>
    </xf>
    <xf numFmtId="0" fontId="44" fillId="33" borderId="0" xfId="0" applyFont="1" applyFill="1" applyAlignment="1" applyProtection="1">
      <alignment horizontal="left" vertical="center"/>
    </xf>
    <xf numFmtId="38" fontId="21" fillId="33" borderId="0" xfId="47" applyFont="1" applyFill="1" applyProtection="1">
      <alignment vertical="center"/>
    </xf>
    <xf numFmtId="0" fontId="28" fillId="33" borderId="0" xfId="0" applyFont="1" applyFill="1" applyAlignment="1" applyProtection="1">
      <alignment horizontal="left" vertical="center"/>
    </xf>
    <xf numFmtId="0" fontId="21" fillId="33" borderId="0" xfId="0" applyFont="1" applyFill="1" applyBorder="1" applyAlignment="1" applyProtection="1">
      <alignment horizontal="left" vertical="top" wrapText="1"/>
    </xf>
    <xf numFmtId="0" fontId="21" fillId="33" borderId="52" xfId="0" applyFont="1" applyFill="1" applyBorder="1" applyAlignment="1" applyProtection="1">
      <alignment horizontal="left" vertical="top" wrapText="1"/>
    </xf>
    <xf numFmtId="0" fontId="22" fillId="33" borderId="0" xfId="0" applyFont="1" applyFill="1" applyBorder="1" applyAlignment="1" applyProtection="1">
      <alignment horizontal="left"/>
    </xf>
    <xf numFmtId="0" fontId="22" fillId="33" borderId="24" xfId="0" applyFont="1" applyFill="1" applyBorder="1" applyAlignment="1" applyProtection="1">
      <alignment horizontal="left"/>
    </xf>
    <xf numFmtId="0" fontId="44" fillId="33" borderId="0" xfId="0" applyFont="1" applyFill="1" applyBorder="1" applyAlignment="1" applyProtection="1">
      <alignment vertical="center"/>
    </xf>
    <xf numFmtId="38" fontId="21" fillId="33" borderId="0" xfId="47" applyFont="1" applyFill="1" applyAlignment="1" applyProtection="1">
      <alignment horizontal="left" vertical="center"/>
    </xf>
    <xf numFmtId="38" fontId="21" fillId="33" borderId="0" xfId="47" applyFont="1" applyFill="1" applyBorder="1" applyProtection="1">
      <alignment vertical="center"/>
    </xf>
    <xf numFmtId="0" fontId="21" fillId="33" borderId="0" xfId="0" applyFont="1" applyFill="1" applyBorder="1" applyProtection="1">
      <alignment vertical="center"/>
    </xf>
    <xf numFmtId="38" fontId="21" fillId="33" borderId="0" xfId="47" applyFont="1" applyFill="1" applyBorder="1" applyAlignment="1" applyProtection="1">
      <alignment horizontal="center" vertical="center"/>
    </xf>
    <xf numFmtId="38" fontId="21" fillId="33" borderId="71" xfId="47" applyFont="1" applyFill="1" applyBorder="1" applyAlignment="1" applyProtection="1">
      <alignment horizontal="center" vertical="center"/>
      <protection locked="0"/>
    </xf>
    <xf numFmtId="38" fontId="21" fillId="33" borderId="0" xfId="47" applyFont="1" applyFill="1" applyAlignment="1" applyProtection="1">
      <alignment vertical="center"/>
    </xf>
    <xf numFmtId="38" fontId="21" fillId="33" borderId="72" xfId="47" applyFont="1" applyFill="1" applyBorder="1" applyAlignment="1" applyProtection="1">
      <alignment horizontal="center" vertical="center"/>
      <protection locked="0"/>
    </xf>
    <xf numFmtId="38" fontId="21" fillId="33" borderId="73" xfId="47" applyFont="1" applyFill="1" applyBorder="1" applyAlignment="1" applyProtection="1">
      <alignment horizontal="center" vertical="center"/>
      <protection locked="0"/>
    </xf>
    <xf numFmtId="0" fontId="21" fillId="33" borderId="52" xfId="0" applyFont="1" applyFill="1" applyBorder="1" applyProtection="1">
      <alignment vertical="center"/>
    </xf>
    <xf numFmtId="0" fontId="21" fillId="33" borderId="0" xfId="0" applyFont="1" applyFill="1" applyBorder="1" applyAlignment="1" applyProtection="1">
      <alignment horizontal="right" vertical="center"/>
    </xf>
    <xf numFmtId="0" fontId="21" fillId="33" borderId="0" xfId="0" applyFont="1" applyFill="1" applyAlignment="1" applyProtection="1">
      <alignment horizontal="left" vertical="center"/>
    </xf>
    <xf numFmtId="0" fontId="21" fillId="33" borderId="0" xfId="0" applyFont="1" applyFill="1" applyAlignment="1" applyProtection="1">
      <alignment horizontal="left" vertical="top" wrapText="1"/>
    </xf>
    <xf numFmtId="38" fontId="21" fillId="33" borderId="52" xfId="47" applyFont="1" applyFill="1" applyBorder="1" applyAlignment="1" applyProtection="1">
      <alignment horizontal="center" vertical="center"/>
    </xf>
    <xf numFmtId="0" fontId="21" fillId="33" borderId="52" xfId="0" applyFont="1" applyFill="1" applyBorder="1" applyAlignment="1" applyProtection="1">
      <alignment horizontal="left" vertical="center"/>
    </xf>
    <xf numFmtId="0" fontId="21" fillId="33" borderId="69" xfId="0" applyFont="1" applyFill="1" applyBorder="1" applyAlignment="1" applyProtection="1">
      <alignment horizontal="left" vertical="center"/>
    </xf>
    <xf numFmtId="0" fontId="21" fillId="33" borderId="0" xfId="0" applyFont="1" applyFill="1" applyBorder="1" applyAlignment="1" applyProtection="1">
      <alignment horizontal="left" vertical="center"/>
    </xf>
    <xf numFmtId="0" fontId="21" fillId="33" borderId="0" xfId="0" applyFont="1" applyFill="1" applyAlignment="1" applyProtection="1">
      <alignment horizontal="center" vertical="center"/>
    </xf>
    <xf numFmtId="38" fontId="21" fillId="33" borderId="74" xfId="47" applyFont="1" applyFill="1" applyBorder="1" applyAlignment="1" applyProtection="1">
      <alignment horizontal="center" vertical="center"/>
      <protection locked="0"/>
    </xf>
    <xf numFmtId="38" fontId="21" fillId="33" borderId="75" xfId="47" applyFont="1" applyFill="1" applyBorder="1" applyAlignment="1" applyProtection="1">
      <alignment horizontal="center" vertical="center"/>
      <protection locked="0"/>
    </xf>
    <xf numFmtId="0" fontId="21" fillId="33" borderId="24" xfId="0" applyFont="1" applyFill="1" applyBorder="1" applyProtection="1">
      <alignment vertical="center"/>
    </xf>
    <xf numFmtId="0" fontId="21" fillId="33" borderId="66" xfId="0" applyFont="1" applyFill="1" applyBorder="1" applyAlignment="1" applyProtection="1">
      <alignment horizontal="left" vertical="center"/>
    </xf>
    <xf numFmtId="0" fontId="21" fillId="33" borderId="56" xfId="0" applyFont="1" applyFill="1" applyBorder="1" applyProtection="1">
      <alignment vertical="center"/>
    </xf>
    <xf numFmtId="0" fontId="21" fillId="33" borderId="76" xfId="0" applyFont="1" applyFill="1" applyBorder="1" applyProtection="1">
      <alignment vertical="center"/>
    </xf>
    <xf numFmtId="0" fontId="21" fillId="33" borderId="76" xfId="0" applyFont="1" applyFill="1" applyBorder="1" applyAlignment="1" applyProtection="1">
      <alignment horizontal="left" vertical="center"/>
    </xf>
    <xf numFmtId="0" fontId="21" fillId="33" borderId="57" xfId="0" applyFont="1" applyFill="1" applyBorder="1" applyProtection="1">
      <alignment vertical="center"/>
    </xf>
    <xf numFmtId="0" fontId="21" fillId="33" borderId="0" xfId="0" applyFont="1" applyFill="1" applyAlignment="1" applyProtection="1">
      <alignment vertical="top"/>
    </xf>
    <xf numFmtId="0" fontId="28" fillId="33" borderId="0" xfId="0" applyFont="1" applyFill="1" applyBorder="1" applyAlignment="1" applyProtection="1">
      <alignment horizontal="left" vertical="center"/>
    </xf>
    <xf numFmtId="0" fontId="28" fillId="33" borderId="0" xfId="0" applyFont="1" applyFill="1" applyBorder="1" applyAlignment="1" applyProtection="1">
      <alignment horizontal="left" vertical="top"/>
    </xf>
    <xf numFmtId="0" fontId="28" fillId="33" borderId="52" xfId="0" applyFont="1" applyFill="1" applyBorder="1" applyAlignment="1" applyProtection="1">
      <alignment vertical="top"/>
    </xf>
    <xf numFmtId="0" fontId="21" fillId="33" borderId="18" xfId="0" applyFont="1" applyFill="1" applyBorder="1" applyAlignment="1" applyProtection="1">
      <alignment horizontal="left" vertical="top" wrapText="1"/>
    </xf>
    <xf numFmtId="0" fontId="21" fillId="33" borderId="19" xfId="0" applyFont="1" applyFill="1" applyBorder="1" applyAlignment="1" applyProtection="1">
      <alignment horizontal="left" vertical="top" wrapText="1"/>
    </xf>
    <xf numFmtId="0" fontId="21" fillId="33" borderId="0" xfId="0" applyFont="1" applyFill="1" applyBorder="1" applyAlignment="1" applyProtection="1">
      <alignment vertical="top" wrapText="1"/>
    </xf>
    <xf numFmtId="0" fontId="19" fillId="33" borderId="0" xfId="0" applyFont="1" applyFill="1" applyBorder="1" applyAlignment="1" applyProtection="1">
      <alignment horizontal="center" vertical="center"/>
    </xf>
    <xf numFmtId="0" fontId="19" fillId="33" borderId="0" xfId="0" applyFont="1" applyFill="1" applyAlignment="1" applyProtection="1">
      <alignment horizontal="center" vertical="center"/>
    </xf>
    <xf numFmtId="0" fontId="19" fillId="33" borderId="52" xfId="0" applyFont="1" applyFill="1" applyBorder="1" applyAlignment="1" applyProtection="1">
      <alignment horizontal="center" vertical="center"/>
    </xf>
    <xf numFmtId="0" fontId="21" fillId="33" borderId="69" xfId="0" applyFont="1" applyFill="1" applyBorder="1" applyAlignment="1" applyProtection="1">
      <alignment horizontal="left" vertical="top" wrapText="1"/>
    </xf>
    <xf numFmtId="0" fontId="28" fillId="33" borderId="0" xfId="0" applyFont="1" applyFill="1" applyBorder="1" applyAlignment="1" applyProtection="1">
      <alignment vertical="top"/>
    </xf>
    <xf numFmtId="38" fontId="19" fillId="33" borderId="0" xfId="47" applyFont="1" applyFill="1" applyBorder="1" applyAlignment="1" applyProtection="1">
      <alignment horizontal="center" vertical="center"/>
    </xf>
    <xf numFmtId="38" fontId="19" fillId="33" borderId="0" xfId="47" applyFont="1" applyFill="1" applyAlignment="1" applyProtection="1">
      <alignment horizontal="center" vertical="center"/>
    </xf>
    <xf numFmtId="38" fontId="19" fillId="33" borderId="52" xfId="0" applyNumberFormat="1" applyFont="1" applyFill="1" applyBorder="1" applyAlignment="1" applyProtection="1">
      <alignment horizontal="center" vertical="center"/>
    </xf>
    <xf numFmtId="0" fontId="24" fillId="33" borderId="0" xfId="0" applyFont="1" applyFill="1" applyAlignment="1" applyProtection="1">
      <alignment horizontal="center" vertical="center"/>
    </xf>
    <xf numFmtId="0" fontId="24" fillId="33" borderId="52" xfId="0" applyFont="1" applyFill="1" applyBorder="1" applyProtection="1">
      <alignment vertical="center"/>
    </xf>
    <xf numFmtId="0" fontId="24" fillId="33" borderId="0" xfId="0" applyFont="1" applyFill="1" applyProtection="1">
      <alignment vertical="center"/>
    </xf>
    <xf numFmtId="0" fontId="21" fillId="33" borderId="56" xfId="0" applyFont="1" applyFill="1" applyBorder="1" applyAlignment="1" applyProtection="1">
      <alignment horizontal="left" vertical="top" wrapText="1"/>
    </xf>
    <xf numFmtId="0" fontId="21" fillId="33" borderId="76" xfId="0" applyFont="1" applyFill="1" applyBorder="1" applyAlignment="1" applyProtection="1">
      <alignment horizontal="left" vertical="top" wrapText="1"/>
    </xf>
    <xf numFmtId="0" fontId="21" fillId="33" borderId="57" xfId="0" applyFont="1" applyFill="1" applyBorder="1" applyAlignment="1" applyProtection="1">
      <alignment horizontal="left" vertical="top" wrapText="1"/>
    </xf>
    <xf numFmtId="0" fontId="29" fillId="0" borderId="0" xfId="0" applyFont="1" applyFill="1" applyAlignment="1" applyProtection="1">
      <alignment horizontal="center" vertical="center"/>
    </xf>
    <xf numFmtId="0" fontId="29" fillId="0" borderId="0" xfId="0" applyFont="1" applyFill="1" applyAlignment="1">
      <alignment horizontal="center" vertical="center"/>
    </xf>
    <xf numFmtId="0" fontId="0" fillId="0" borderId="0" xfId="0" applyFont="1" applyFill="1" applyProtection="1">
      <alignment vertical="center"/>
    </xf>
    <xf numFmtId="0" fontId="21" fillId="0" borderId="0" xfId="0" applyFont="1" applyFill="1" applyProtection="1">
      <alignment vertical="center"/>
    </xf>
    <xf numFmtId="0" fontId="21" fillId="0" borderId="35" xfId="0" applyFont="1" applyFill="1" applyBorder="1" applyAlignment="1" applyProtection="1">
      <alignment horizontal="center" vertical="center"/>
    </xf>
    <xf numFmtId="0" fontId="29" fillId="0" borderId="35" xfId="0" applyFont="1" applyFill="1" applyBorder="1" applyAlignment="1" applyProtection="1">
      <alignment horizontal="center" vertical="center" wrapText="1"/>
    </xf>
    <xf numFmtId="0" fontId="29" fillId="0" borderId="10" xfId="0" applyFont="1" applyFill="1" applyBorder="1" applyAlignment="1" applyProtection="1">
      <alignment horizontal="center" vertical="center" wrapText="1"/>
    </xf>
    <xf numFmtId="0" fontId="29" fillId="0" borderId="11" xfId="0" applyFont="1" applyFill="1" applyBorder="1" applyAlignment="1" applyProtection="1">
      <alignment horizontal="center" vertical="center" wrapText="1"/>
    </xf>
    <xf numFmtId="0" fontId="29" fillId="0" borderId="77" xfId="0" applyFont="1" applyFill="1" applyBorder="1" applyAlignment="1" applyProtection="1">
      <alignment horizontal="center" vertical="center" wrapText="1"/>
    </xf>
    <xf numFmtId="0" fontId="29" fillId="0" borderId="48" xfId="0" applyFont="1" applyFill="1" applyBorder="1" applyAlignment="1" applyProtection="1">
      <alignment horizontal="center" vertical="center"/>
    </xf>
    <xf numFmtId="0" fontId="21" fillId="0" borderId="48" xfId="0" applyFont="1" applyFill="1" applyBorder="1" applyAlignment="1" applyProtection="1">
      <alignment horizontal="center" vertical="center"/>
    </xf>
    <xf numFmtId="0" fontId="21" fillId="0" borderId="35" xfId="0" applyFont="1" applyFill="1" applyBorder="1" applyAlignment="1" applyProtection="1">
      <alignment horizontal="center" vertical="center" wrapText="1"/>
    </xf>
    <xf numFmtId="0" fontId="21" fillId="0" borderId="0" xfId="0" applyFont="1" applyFill="1" applyAlignment="1" applyProtection="1">
      <alignment horizontal="center" vertical="center" textRotation="255"/>
    </xf>
    <xf numFmtId="0" fontId="21" fillId="0" borderId="35" xfId="0" applyFont="1" applyFill="1" applyBorder="1" applyAlignment="1" applyProtection="1">
      <alignment horizontal="left" vertical="center"/>
    </xf>
    <xf numFmtId="0" fontId="29" fillId="0" borderId="0" xfId="0" applyFont="1" applyFill="1" applyAlignment="1" applyProtection="1">
      <alignment horizontal="left" vertical="center"/>
    </xf>
    <xf numFmtId="0" fontId="29" fillId="0" borderId="35" xfId="0" applyFont="1" applyFill="1" applyBorder="1" applyAlignment="1" applyProtection="1">
      <alignment horizontal="center" vertical="center"/>
    </xf>
    <xf numFmtId="0" fontId="29" fillId="0" borderId="10" xfId="37" applyNumberFormat="1" applyFont="1" applyFill="1" applyBorder="1" applyAlignment="1" applyProtection="1">
      <alignment horizontal="center" vertical="center"/>
    </xf>
    <xf numFmtId="0" fontId="29" fillId="0" borderId="11" xfId="0" applyFont="1" applyFill="1" applyBorder="1" applyAlignment="1" applyProtection="1">
      <alignment horizontal="center" vertical="center"/>
    </xf>
    <xf numFmtId="0" fontId="29" fillId="0" borderId="77" xfId="0" applyFont="1" applyFill="1" applyBorder="1" applyAlignment="1" applyProtection="1">
      <alignment horizontal="center" vertical="center"/>
    </xf>
    <xf numFmtId="0" fontId="29" fillId="0" borderId="56" xfId="0" applyFont="1" applyFill="1" applyBorder="1" applyAlignment="1" applyProtection="1">
      <alignment horizontal="center" vertical="center"/>
    </xf>
    <xf numFmtId="0" fontId="29" fillId="0" borderId="76" xfId="0" applyFont="1" applyFill="1" applyBorder="1" applyAlignment="1" applyProtection="1">
      <alignment horizontal="center" vertical="center"/>
    </xf>
    <xf numFmtId="0" fontId="29" fillId="0" borderId="57" xfId="0" applyFont="1" applyFill="1" applyBorder="1" applyAlignment="1" applyProtection="1">
      <alignment horizontal="center" vertical="center"/>
    </xf>
    <xf numFmtId="0" fontId="29" fillId="0" borderId="35" xfId="0" applyFont="1" applyFill="1" applyBorder="1" applyAlignment="1" applyProtection="1">
      <alignment horizontal="left" vertical="center"/>
    </xf>
    <xf numFmtId="0" fontId="29" fillId="0" borderId="35" xfId="0" applyFont="1" applyFill="1" applyBorder="1" applyAlignment="1" applyProtection="1">
      <alignment vertical="center" wrapText="1"/>
    </xf>
    <xf numFmtId="0" fontId="21" fillId="0" borderId="10" xfId="0" applyFont="1" applyFill="1" applyBorder="1" applyAlignment="1" applyProtection="1">
      <alignment horizontal="center" wrapText="1"/>
    </xf>
    <xf numFmtId="0" fontId="21" fillId="0" borderId="11" xfId="0" applyFont="1" applyFill="1" applyBorder="1" applyAlignment="1" applyProtection="1">
      <alignment horizontal="center" wrapText="1"/>
    </xf>
    <xf numFmtId="0" fontId="21" fillId="0" borderId="11" xfId="0" applyFont="1" applyFill="1" applyBorder="1" applyAlignment="1" applyProtection="1">
      <alignment horizontal="center" vertical="center"/>
    </xf>
    <xf numFmtId="0" fontId="21" fillId="0" borderId="77" xfId="0" applyFont="1" applyFill="1" applyBorder="1" applyAlignment="1" applyProtection="1">
      <alignment vertical="center"/>
    </xf>
    <xf numFmtId="0" fontId="29" fillId="0" borderId="0" xfId="0" applyFont="1" applyFill="1" applyAlignment="1" applyProtection="1">
      <alignment horizontal="center" vertical="center" wrapText="1"/>
    </xf>
    <xf numFmtId="0" fontId="29" fillId="0" borderId="0" xfId="0" applyFont="1" applyFill="1" applyAlignment="1" applyProtection="1">
      <alignment horizontal="left" vertical="center" wrapText="1"/>
    </xf>
    <xf numFmtId="176" fontId="29" fillId="0" borderId="35" xfId="0" applyNumberFormat="1" applyFont="1" applyFill="1" applyBorder="1" applyAlignment="1" applyProtection="1">
      <alignment horizontal="center" vertical="center"/>
    </xf>
    <xf numFmtId="38" fontId="21" fillId="0" borderId="0" xfId="47" applyFont="1" applyFill="1" applyProtection="1">
      <alignment vertical="center"/>
    </xf>
    <xf numFmtId="38" fontId="21" fillId="0" borderId="48" xfId="47" applyFont="1" applyFill="1" applyBorder="1" applyAlignment="1" applyProtection="1">
      <alignment horizontal="center" vertical="center"/>
    </xf>
    <xf numFmtId="38" fontId="21" fillId="0" borderId="35" xfId="47" applyFont="1" applyFill="1" applyBorder="1" applyProtection="1">
      <alignment vertical="center"/>
    </xf>
    <xf numFmtId="0" fontId="45" fillId="0" borderId="35" xfId="0" applyFont="1" applyFill="1" applyBorder="1" applyProtection="1">
      <alignment vertical="center"/>
    </xf>
    <xf numFmtId="0" fontId="29" fillId="0" borderId="52" xfId="37" applyFont="1" applyFill="1" applyBorder="1" applyAlignment="1" applyProtection="1">
      <alignment vertical="center"/>
    </xf>
    <xf numFmtId="0" fontId="29" fillId="0" borderId="48" xfId="37" applyFont="1" applyFill="1" applyBorder="1" applyAlignment="1" applyProtection="1">
      <alignment horizontal="center" vertical="center" wrapText="1"/>
    </xf>
    <xf numFmtId="3" fontId="29" fillId="0" borderId="48" xfId="37" applyNumberFormat="1" applyFont="1" applyFill="1" applyBorder="1" applyAlignment="1" applyProtection="1">
      <alignment horizontal="center" vertical="center" wrapText="1"/>
    </xf>
    <xf numFmtId="3" fontId="29" fillId="0" borderId="48" xfId="37" applyNumberFormat="1" applyFont="1" applyFill="1" applyBorder="1" applyAlignment="1" applyProtection="1">
      <alignment horizontal="center" vertical="center"/>
    </xf>
    <xf numFmtId="0" fontId="21" fillId="0" borderId="53" xfId="0" applyFont="1" applyFill="1" applyBorder="1" applyAlignment="1" applyProtection="1">
      <alignment horizontal="center" vertical="center"/>
    </xf>
    <xf numFmtId="38" fontId="29" fillId="0" borderId="10" xfId="47" applyFont="1" applyFill="1" applyBorder="1" applyAlignment="1" applyProtection="1">
      <alignment horizontal="center" vertical="center"/>
    </xf>
    <xf numFmtId="38" fontId="29" fillId="0" borderId="77" xfId="47" applyFont="1" applyFill="1" applyBorder="1" applyAlignment="1" applyProtection="1">
      <alignment horizontal="center" vertical="center"/>
    </xf>
    <xf numFmtId="38" fontId="29" fillId="0" borderId="78" xfId="47" applyFont="1" applyFill="1" applyBorder="1" applyAlignment="1" applyProtection="1">
      <alignment vertical="center"/>
    </xf>
    <xf numFmtId="0" fontId="29" fillId="0" borderId="55" xfId="0" applyFont="1" applyFill="1" applyBorder="1" applyAlignment="1" applyProtection="1">
      <alignment horizontal="center" vertical="center"/>
    </xf>
    <xf numFmtId="38" fontId="29" fillId="0" borderId="35" xfId="47" applyFont="1" applyFill="1" applyBorder="1" applyAlignment="1" applyProtection="1">
      <alignment horizontal="center" vertical="center"/>
    </xf>
    <xf numFmtId="38" fontId="21" fillId="0" borderId="55" xfId="47" applyFont="1" applyFill="1" applyBorder="1" applyAlignment="1" applyProtection="1">
      <alignment horizontal="center" vertical="center"/>
    </xf>
    <xf numFmtId="0" fontId="21" fillId="0" borderId="35" xfId="0" applyFont="1" applyFill="1" applyBorder="1" applyProtection="1">
      <alignment vertical="center"/>
    </xf>
    <xf numFmtId="177" fontId="45" fillId="0" borderId="35" xfId="0" applyNumberFormat="1" applyFont="1" applyFill="1" applyBorder="1" applyAlignment="1" applyProtection="1">
      <alignment vertical="center"/>
    </xf>
    <xf numFmtId="0" fontId="29" fillId="0" borderId="35" xfId="0" applyFont="1" applyFill="1" applyBorder="1" applyProtection="1">
      <alignment vertical="center"/>
    </xf>
    <xf numFmtId="0" fontId="29" fillId="0" borderId="35" xfId="0" applyFont="1" applyFill="1" applyBorder="1" applyAlignment="1">
      <alignment horizontal="center" vertical="center"/>
    </xf>
    <xf numFmtId="0" fontId="29" fillId="0" borderId="79" xfId="0" applyFont="1" applyFill="1" applyBorder="1" applyAlignment="1" applyProtection="1">
      <alignment horizontal="center" vertical="center"/>
    </xf>
    <xf numFmtId="10" fontId="29" fillId="0" borderId="80" xfId="37" applyNumberFormat="1" applyFont="1" applyFill="1" applyBorder="1" applyAlignment="1" applyProtection="1">
      <alignment horizontal="center" vertical="center"/>
    </xf>
    <xf numFmtId="178" fontId="29" fillId="0" borderId="81" xfId="37" applyNumberFormat="1" applyFont="1" applyFill="1" applyBorder="1" applyAlignment="1" applyProtection="1">
      <alignment horizontal="center" vertical="center"/>
    </xf>
    <xf numFmtId="10" fontId="29" fillId="0" borderId="81" xfId="37" applyNumberFormat="1" applyFont="1" applyFill="1" applyBorder="1" applyAlignment="1" applyProtection="1">
      <alignment horizontal="center" vertical="center"/>
    </xf>
    <xf numFmtId="3" fontId="29" fillId="0" borderId="82" xfId="37" applyNumberFormat="1" applyFont="1" applyFill="1" applyBorder="1" applyAlignment="1" applyProtection="1">
      <alignment horizontal="center" vertical="center"/>
    </xf>
    <xf numFmtId="0" fontId="21" fillId="0" borderId="55" xfId="0" applyFont="1" applyFill="1" applyBorder="1" applyAlignment="1" applyProtection="1">
      <alignment horizontal="center" vertical="center"/>
    </xf>
    <xf numFmtId="10" fontId="29" fillId="0" borderId="55" xfId="37" applyNumberFormat="1" applyFont="1" applyFill="1" applyBorder="1" applyAlignment="1" applyProtection="1">
      <alignment horizontal="center" vertical="center"/>
    </xf>
    <xf numFmtId="38" fontId="29" fillId="0" borderId="55" xfId="47" applyNumberFormat="1" applyFont="1" applyFill="1" applyBorder="1" applyAlignment="1" applyProtection="1">
      <alignment horizontal="center" vertical="center"/>
    </xf>
    <xf numFmtId="38" fontId="21" fillId="0" borderId="35" xfId="47" applyNumberFormat="1" applyFont="1" applyFill="1" applyBorder="1" applyAlignment="1" applyProtection="1">
      <alignment horizontal="center" vertical="center"/>
    </xf>
    <xf numFmtId="38" fontId="29" fillId="0" borderId="0" xfId="47" applyFont="1" applyFill="1" applyAlignment="1" applyProtection="1">
      <alignment horizontal="center" vertical="center"/>
    </xf>
    <xf numFmtId="3" fontId="29" fillId="0" borderId="35" xfId="37" applyNumberFormat="1" applyFont="1" applyFill="1" applyBorder="1" applyAlignment="1" applyProtection="1">
      <alignment horizontal="center" vertical="center"/>
    </xf>
    <xf numFmtId="0" fontId="29" fillId="0" borderId="35" xfId="0" applyFont="1" applyFill="1" applyBorder="1" applyAlignment="1" applyProtection="1">
      <alignment vertical="center"/>
    </xf>
    <xf numFmtId="0" fontId="29" fillId="0" borderId="78" xfId="0" applyFont="1" applyFill="1" applyBorder="1" applyAlignment="1" applyProtection="1">
      <alignment horizontal="center" vertical="center"/>
    </xf>
    <xf numFmtId="179" fontId="29" fillId="0" borderId="0" xfId="0" applyNumberFormat="1" applyFont="1" applyFill="1" applyAlignment="1" applyProtection="1">
      <alignment horizontal="center" vertical="center"/>
    </xf>
    <xf numFmtId="0" fontId="29" fillId="0" borderId="0" xfId="0" applyFont="1" applyFill="1" applyAlignment="1" applyProtection="1">
      <alignment vertical="center"/>
    </xf>
    <xf numFmtId="0" fontId="29" fillId="0" borderId="48" xfId="0" applyFont="1" applyFill="1" applyBorder="1" applyAlignment="1" applyProtection="1">
      <alignment vertical="center"/>
    </xf>
    <xf numFmtId="4" fontId="29" fillId="0" borderId="0" xfId="0" applyNumberFormat="1" applyFont="1" applyFill="1" applyAlignment="1" applyProtection="1">
      <alignment horizontal="center" vertical="center"/>
    </xf>
    <xf numFmtId="0" fontId="29" fillId="0" borderId="0" xfId="0" applyFont="1" applyFill="1" applyProtection="1">
      <alignment vertical="center"/>
    </xf>
    <xf numFmtId="0" fontId="29" fillId="0" borderId="35" xfId="0" applyFont="1" applyFill="1" applyBorder="1" applyAlignment="1" applyProtection="1">
      <alignment horizontal="right" vertical="center"/>
    </xf>
    <xf numFmtId="20" fontId="21" fillId="0" borderId="0" xfId="0" applyNumberFormat="1" applyFont="1" applyFill="1" applyProtection="1">
      <alignment vertical="center"/>
    </xf>
    <xf numFmtId="180" fontId="29" fillId="0" borderId="55" xfId="37" applyNumberFormat="1" applyFont="1" applyFill="1" applyBorder="1" applyAlignment="1" applyProtection="1">
      <alignment horizontal="center" vertical="center"/>
    </xf>
    <xf numFmtId="3" fontId="29" fillId="0" borderId="35" xfId="37" applyNumberFormat="1" applyFont="1" applyFill="1" applyBorder="1" applyAlignment="1" applyProtection="1">
      <alignment vertical="center"/>
    </xf>
    <xf numFmtId="0" fontId="29" fillId="0" borderId="35" xfId="0" applyFont="1" applyFill="1" applyBorder="1" applyAlignment="1" applyProtection="1">
      <alignment horizontal="left" vertical="center" wrapText="1"/>
    </xf>
    <xf numFmtId="180" fontId="29" fillId="0" borderId="0" xfId="37" applyNumberFormat="1" applyFont="1" applyFill="1" applyAlignment="1" applyProtection="1">
      <alignment horizontal="center" vertical="center"/>
    </xf>
    <xf numFmtId="178" fontId="29" fillId="0" borderId="0" xfId="37" applyNumberFormat="1" applyFont="1" applyFill="1" applyAlignment="1" applyProtection="1">
      <alignment horizontal="center" vertical="center"/>
    </xf>
    <xf numFmtId="38" fontId="29" fillId="33" borderId="35" xfId="47" applyNumberFormat="1" applyFont="1" applyFill="1" applyBorder="1" applyAlignment="1" applyProtection="1">
      <alignment horizontal="center" vertical="center"/>
    </xf>
    <xf numFmtId="0" fontId="29" fillId="0" borderId="18" xfId="0" applyFont="1" applyFill="1" applyBorder="1" applyAlignment="1" applyProtection="1">
      <alignment horizontal="center" vertical="center"/>
    </xf>
    <xf numFmtId="0" fontId="21" fillId="0" borderId="19" xfId="0" applyFont="1" applyFill="1" applyBorder="1" applyAlignment="1" applyProtection="1">
      <alignment horizontal="left" vertical="center"/>
    </xf>
    <xf numFmtId="0" fontId="21" fillId="0" borderId="50" xfId="0" applyFont="1" applyFill="1" applyBorder="1" applyAlignment="1" applyProtection="1">
      <alignment horizontal="left" vertical="center"/>
    </xf>
    <xf numFmtId="3" fontId="29" fillId="0" borderId="0" xfId="37" applyNumberFormat="1" applyFont="1" applyFill="1" applyAlignment="1" applyProtection="1">
      <alignment horizontal="center" vertical="center"/>
    </xf>
    <xf numFmtId="181" fontId="29" fillId="0" borderId="76" xfId="0" applyNumberFormat="1" applyFont="1" applyFill="1" applyBorder="1" applyAlignment="1" applyProtection="1">
      <alignment horizontal="center" vertical="center"/>
    </xf>
    <xf numFmtId="181" fontId="29" fillId="0" borderId="57" xfId="0" applyNumberFormat="1" applyFont="1" applyFill="1" applyBorder="1" applyAlignment="1" applyProtection="1">
      <alignment horizontal="center" vertical="center"/>
    </xf>
    <xf numFmtId="38" fontId="29" fillId="0" borderId="27" xfId="47" applyFont="1" applyFill="1" applyBorder="1" applyAlignment="1" applyProtection="1">
      <alignment horizontal="center" vertical="center"/>
    </xf>
    <xf numFmtId="38" fontId="29" fillId="0" borderId="28" xfId="47" applyFont="1" applyFill="1" applyBorder="1" applyAlignment="1" applyProtection="1">
      <alignment horizontal="center" vertical="center"/>
    </xf>
    <xf numFmtId="38" fontId="29" fillId="0" borderId="31" xfId="47" applyFont="1" applyFill="1" applyBorder="1" applyAlignment="1" applyProtection="1">
      <alignment horizontal="center" vertical="center"/>
    </xf>
    <xf numFmtId="38" fontId="29" fillId="0" borderId="83" xfId="47" applyFont="1" applyFill="1" applyBorder="1" applyAlignment="1" applyProtection="1">
      <alignment horizontal="center" vertical="center"/>
    </xf>
    <xf numFmtId="38" fontId="29" fillId="0" borderId="33" xfId="47" applyFont="1" applyFill="1" applyBorder="1" applyAlignment="1" applyProtection="1">
      <alignment horizontal="center" vertical="center"/>
    </xf>
    <xf numFmtId="0" fontId="21" fillId="0" borderId="0" xfId="0" applyFont="1" applyFill="1" applyAlignment="1" applyProtection="1">
      <alignment horizontal="center" vertical="center"/>
    </xf>
    <xf numFmtId="0" fontId="29" fillId="0" borderId="0" xfId="0" applyFont="1" applyFill="1" applyBorder="1" applyAlignment="1" applyProtection="1">
      <alignment horizontal="center" vertical="center"/>
    </xf>
    <xf numFmtId="182" fontId="21" fillId="0" borderId="52" xfId="0" applyNumberFormat="1" applyFont="1" applyFill="1" applyBorder="1" applyAlignment="1" applyProtection="1">
      <alignment horizontal="center" vertical="center"/>
    </xf>
    <xf numFmtId="0" fontId="21" fillId="0" borderId="77" xfId="0" applyFont="1" applyFill="1" applyBorder="1" applyAlignment="1" applyProtection="1">
      <alignment horizontal="center" vertical="center"/>
    </xf>
    <xf numFmtId="38" fontId="29" fillId="0" borderId="42" xfId="47" applyFont="1" applyFill="1" applyBorder="1" applyAlignment="1" applyProtection="1">
      <alignment horizontal="center" vertical="center"/>
    </xf>
    <xf numFmtId="38" fontId="29" fillId="0" borderId="84" xfId="47" applyFont="1" applyFill="1" applyBorder="1" applyAlignment="1" applyProtection="1">
      <alignment horizontal="center" vertical="center"/>
    </xf>
    <xf numFmtId="38" fontId="29" fillId="0" borderId="46" xfId="47" applyFont="1" applyFill="1" applyBorder="1" applyAlignment="1" applyProtection="1">
      <alignment horizontal="center" vertical="center"/>
    </xf>
    <xf numFmtId="0" fontId="21" fillId="0" borderId="35" xfId="0" applyFont="1" applyFill="1" applyBorder="1" applyAlignment="1" applyProtection="1">
      <alignment horizontal="right" vertical="center"/>
    </xf>
    <xf numFmtId="0" fontId="21" fillId="0" borderId="78" xfId="0" applyFont="1" applyFill="1" applyBorder="1" applyAlignment="1" applyProtection="1">
      <alignment horizontal="right" vertical="center"/>
    </xf>
    <xf numFmtId="0" fontId="21" fillId="0" borderId="66" xfId="0" applyFont="1" applyFill="1" applyBorder="1" applyAlignment="1" applyProtection="1">
      <alignment horizontal="left" vertical="center"/>
    </xf>
    <xf numFmtId="0" fontId="21" fillId="0" borderId="66" xfId="0" applyFont="1" applyFill="1" applyBorder="1" applyAlignment="1" applyProtection="1">
      <alignment horizontal="left" vertical="center" wrapText="1"/>
    </xf>
    <xf numFmtId="183" fontId="21" fillId="0" borderId="35" xfId="0" applyNumberFormat="1" applyFont="1" applyFill="1" applyBorder="1" applyAlignment="1" applyProtection="1">
      <alignment horizontal="right" vertical="center"/>
    </xf>
    <xf numFmtId="184" fontId="29" fillId="0" borderId="35" xfId="0" applyNumberFormat="1" applyFont="1" applyFill="1" applyBorder="1" applyAlignment="1" applyProtection="1">
      <alignment horizontal="center" vertical="center"/>
    </xf>
    <xf numFmtId="0" fontId="21" fillId="0" borderId="0" xfId="0" applyFont="1" applyFill="1" applyBorder="1" applyAlignment="1" applyProtection="1">
      <alignment horizontal="left" vertical="center"/>
    </xf>
    <xf numFmtId="0" fontId="21" fillId="0" borderId="0" xfId="0" applyFont="1" applyFill="1" applyBorder="1" applyAlignment="1" applyProtection="1">
      <alignment horizontal="left" vertical="center" wrapText="1"/>
    </xf>
    <xf numFmtId="20" fontId="29" fillId="0" borderId="0" xfId="0" applyNumberFormat="1" applyFont="1" applyFill="1" applyAlignment="1" applyProtection="1">
      <alignment horizontal="center" vertical="center"/>
    </xf>
    <xf numFmtId="14" fontId="29" fillId="0" borderId="0" xfId="0" applyNumberFormat="1" applyFont="1" applyFill="1" applyAlignment="1" applyProtection="1">
      <alignment horizontal="center" vertical="center"/>
    </xf>
    <xf numFmtId="4" fontId="29" fillId="0" borderId="35" xfId="37" applyNumberFormat="1" applyFont="1" applyFill="1" applyBorder="1" applyAlignment="1" applyProtection="1">
      <alignment horizontal="center" vertical="center"/>
    </xf>
  </cellXfs>
  <cellStyles count="49">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標準_20政令指定都市料率等" xfId="33"/>
    <cellStyle name="標準_【作成中】R8年度試算シート（加工用）HP用" xfId="34"/>
    <cellStyle name="標準_ヤルコト" xfId="35"/>
    <cellStyle name="標準_ヤルコト_1" xfId="36"/>
    <cellStyle name="標準_保険料試算【R7年度用　α】" xfId="37"/>
    <cellStyle name="良い" xfId="38"/>
    <cellStyle name="見出し 1" xfId="39"/>
    <cellStyle name="見出し 2" xfId="40"/>
    <cellStyle name="見出し 3" xfId="41"/>
    <cellStyle name="見出し 4" xfId="42"/>
    <cellStyle name="計算" xfId="43"/>
    <cellStyle name="説明文" xfId="44"/>
    <cellStyle name="警告文" xfId="45"/>
    <cellStyle name="集計" xfId="46"/>
    <cellStyle name="桁区切り" xfId="47" builtinId="6"/>
    <cellStyle name="パーセント" xfId="48" builtinId="5"/>
  </cellStyles>
  <dxfs count="3">
    <dxf>
      <font>
        <color indexed="9"/>
      </font>
    </dxf>
    <dxf>
      <fill>
        <patternFill patternType="solid">
          <bgColor indexed="9"/>
        </patternFill>
      </fill>
    </dxf>
    <dxf>
      <fill>
        <patternFill patternType="solid">
          <bgColor theme="0"/>
        </patternFill>
      </fill>
    </dxf>
  </dxfs>
  <tableStyles count="0" defaultTableStyle="TableStyleMedium2" defaultPivotStyle="PivotStyleLight16"/>
  <colors>
    <mruColors>
      <color rgb="FFC0FF57"/>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3">
    <tabColor rgb="FFFFFF00"/>
    <pageSetUpPr fitToPage="1"/>
  </sheetPr>
  <dimension ref="A1:W67"/>
  <sheetViews>
    <sheetView tabSelected="1" workbookViewId="0">
      <selection activeCell="J10" sqref="J10:J11"/>
    </sheetView>
  </sheetViews>
  <sheetFormatPr defaultRowHeight="11.25"/>
  <cols>
    <col min="1" max="1" width="4" style="1" customWidth="1"/>
    <col min="2" max="2" width="3.6640625" style="1" customWidth="1"/>
    <col min="3" max="3" width="9.19921875" style="1" customWidth="1"/>
    <col min="4" max="4" width="4.59765625" style="1" customWidth="1"/>
    <col min="5" max="7" width="3" style="1" customWidth="1"/>
    <col min="8" max="8" width="20" style="1" customWidth="1"/>
    <col min="9" max="9" width="22" style="1" customWidth="1"/>
    <col min="10" max="10" width="7.3984375" style="1" bestFit="1" customWidth="1"/>
    <col min="11" max="11" width="9.46484375" style="1" customWidth="1"/>
    <col min="12" max="12" width="5.46484375" style="1" customWidth="1"/>
    <col min="13" max="13" width="2.59765625" style="1" bestFit="1" customWidth="1"/>
    <col min="14" max="14" width="4.19921875" style="1" bestFit="1" customWidth="1"/>
    <col min="15" max="15" width="9.19921875" style="1" bestFit="1" customWidth="1"/>
    <col min="16" max="21" width="9.06640625" style="1" customWidth="1"/>
    <col min="22" max="22" width="3.796875" style="1" customWidth="1"/>
    <col min="23" max="16384" width="9.06640625" style="1" customWidth="1"/>
  </cols>
  <sheetData>
    <row r="1" spans="2:23" ht="7.5" customHeight="1">
      <c r="B1" s="3" t="str">
        <f>'【編集者】入力・計算用シート'!H32</f>
        <v>令和8</v>
      </c>
      <c r="C1" s="3"/>
      <c r="D1" s="29" t="s">
        <v>80</v>
      </c>
      <c r="E1" s="29"/>
      <c r="F1" s="29"/>
      <c r="G1" s="29"/>
      <c r="H1" s="29"/>
      <c r="I1" s="29"/>
      <c r="J1" s="29"/>
      <c r="K1" s="77"/>
      <c r="L1" s="78"/>
      <c r="M1" s="78"/>
      <c r="N1" s="78"/>
      <c r="O1" s="78"/>
      <c r="P1" s="78"/>
      <c r="Q1" s="78"/>
      <c r="R1" s="78"/>
      <c r="S1" s="78"/>
      <c r="T1" s="78"/>
      <c r="U1" s="78"/>
      <c r="V1" s="78"/>
      <c r="W1" s="78"/>
    </row>
    <row r="2" spans="2:23" ht="18.75">
      <c r="B2" s="3"/>
      <c r="C2" s="3"/>
      <c r="D2" s="30"/>
      <c r="E2" s="30"/>
      <c r="F2" s="30"/>
      <c r="G2" s="30"/>
      <c r="H2" s="30"/>
      <c r="I2" s="30"/>
      <c r="J2" s="30"/>
      <c r="K2" s="77"/>
      <c r="L2" s="78"/>
      <c r="M2" s="79" t="s">
        <v>73</v>
      </c>
      <c r="N2" s="79"/>
      <c r="O2" s="79"/>
      <c r="P2" s="79"/>
      <c r="Q2" s="79"/>
      <c r="R2" s="79"/>
      <c r="S2" s="79"/>
      <c r="T2" s="79"/>
      <c r="U2" s="79"/>
      <c r="V2" s="78"/>
      <c r="W2" s="78"/>
    </row>
    <row r="3" spans="2:23" ht="18.75">
      <c r="C3" s="16" t="s">
        <v>364</v>
      </c>
      <c r="D3" s="31"/>
      <c r="E3" s="31"/>
      <c r="F3" s="31"/>
      <c r="G3" s="31"/>
      <c r="H3" s="31"/>
      <c r="I3" s="31"/>
      <c r="J3" s="31"/>
      <c r="K3" s="54"/>
      <c r="L3" s="78"/>
      <c r="M3" s="80"/>
      <c r="N3" s="80"/>
      <c r="O3" s="80"/>
      <c r="P3" s="113" t="str">
        <f>IF('【編集者】入力・計算用シート'!C472=0,"",VLOOKUP('【編集者】入力・計算用シート'!C472,'【編集者】入力・計算用シート'!$C$461:$D$470,2,0))</f>
        <v/>
      </c>
      <c r="Q3" s="113"/>
      <c r="R3" s="113"/>
      <c r="S3" s="113"/>
      <c r="T3" s="113"/>
      <c r="U3" s="113"/>
      <c r="V3" s="80"/>
      <c r="W3" s="78"/>
    </row>
    <row r="4" spans="2:23" ht="18.75">
      <c r="C4" s="17"/>
      <c r="D4" s="17"/>
      <c r="E4" s="17"/>
      <c r="F4" s="17"/>
      <c r="G4" s="17"/>
      <c r="H4" s="17"/>
      <c r="I4" s="17"/>
      <c r="J4" s="17"/>
      <c r="K4" s="54"/>
      <c r="L4" s="78"/>
      <c r="M4" s="81"/>
      <c r="N4" s="86" t="s">
        <v>88</v>
      </c>
      <c r="O4" s="86"/>
      <c r="P4" s="113"/>
      <c r="Q4" s="113"/>
      <c r="R4" s="113"/>
      <c r="S4" s="113"/>
      <c r="T4" s="113"/>
      <c r="U4" s="113"/>
      <c r="V4" s="80"/>
      <c r="W4" s="78"/>
    </row>
    <row r="5" spans="2:23" ht="18.75">
      <c r="B5" s="4" t="s">
        <v>363</v>
      </c>
      <c r="C5" s="18"/>
      <c r="D5" s="18"/>
      <c r="E5" s="18"/>
      <c r="F5" s="18"/>
      <c r="G5" s="18"/>
      <c r="H5" s="54"/>
      <c r="I5" s="54"/>
      <c r="J5" s="54"/>
      <c r="L5" s="78"/>
      <c r="M5" s="81"/>
      <c r="N5" s="86"/>
      <c r="O5" s="86"/>
      <c r="P5" s="114">
        <f>IF('【編集者】入力・計算用シート'!C472=0,IF(試算シート!B23=0,0,'【編集者】入力・計算用シート'!G296),"-")</f>
        <v>0</v>
      </c>
      <c r="Q5" s="114"/>
      <c r="R5" s="114"/>
      <c r="S5" s="114"/>
      <c r="T5" s="132" t="s">
        <v>115</v>
      </c>
      <c r="U5" s="137"/>
      <c r="V5" s="80"/>
      <c r="W5" s="78"/>
    </row>
    <row r="6" spans="2:23" ht="19.5">
      <c r="B6" s="5" t="s">
        <v>301</v>
      </c>
      <c r="C6" s="19" t="s">
        <v>290</v>
      </c>
      <c r="D6" s="32" t="s">
        <v>360</v>
      </c>
      <c r="E6" s="44"/>
      <c r="F6" s="44"/>
      <c r="G6" s="53"/>
      <c r="H6" s="55" t="s">
        <v>257</v>
      </c>
      <c r="I6" s="65" t="s">
        <v>135</v>
      </c>
      <c r="J6" s="68" t="s">
        <v>361</v>
      </c>
      <c r="L6" s="78"/>
      <c r="M6" s="81"/>
      <c r="N6" s="87"/>
      <c r="O6" s="87"/>
      <c r="P6" s="115"/>
      <c r="Q6" s="115"/>
      <c r="R6" s="115"/>
      <c r="S6" s="115"/>
      <c r="T6" s="133"/>
      <c r="U6" s="138"/>
      <c r="V6" s="80"/>
      <c r="W6" s="78"/>
    </row>
    <row r="7" spans="2:23" ht="24">
      <c r="B7" s="6"/>
      <c r="C7" s="20"/>
      <c r="D7" s="33" t="s">
        <v>149</v>
      </c>
      <c r="E7" s="45" t="s">
        <v>145</v>
      </c>
      <c r="F7" s="45" t="s">
        <v>94</v>
      </c>
      <c r="G7" s="45" t="s">
        <v>148</v>
      </c>
      <c r="H7" s="56"/>
      <c r="I7" s="66" t="str">
        <f>"※１/１時点で６５歳以上
（"&amp;'【編集者】入力・計算用シート'!$F$303&amp;"）の方のみ入力"</f>
        <v>※１/１時点で６５歳以上
（～S36.1.1生）の方のみ入力</v>
      </c>
      <c r="J7" s="69"/>
      <c r="L7" s="78"/>
      <c r="M7" s="80"/>
      <c r="N7" s="88" t="s">
        <v>183</v>
      </c>
      <c r="O7" s="102" t="s">
        <v>328</v>
      </c>
      <c r="P7" s="102"/>
      <c r="Q7" s="102"/>
      <c r="R7" s="102"/>
      <c r="S7" s="128">
        <f>IF(P5="-","-",P5/12)</f>
        <v>0</v>
      </c>
      <c r="T7" s="128"/>
      <c r="U7" s="139" t="s">
        <v>117</v>
      </c>
      <c r="V7" s="80"/>
      <c r="W7" s="78"/>
    </row>
    <row r="8" spans="2:23" ht="12">
      <c r="B8" s="7" t="str">
        <f>試算シート!B7</f>
        <v/>
      </c>
      <c r="C8" s="21" t="s">
        <v>81</v>
      </c>
      <c r="D8" s="34"/>
      <c r="E8" s="46"/>
      <c r="F8" s="46"/>
      <c r="G8" s="46"/>
      <c r="H8" s="57"/>
      <c r="I8" s="57"/>
      <c r="J8" s="70"/>
      <c r="L8" s="78"/>
      <c r="M8" s="80"/>
      <c r="N8" s="89" t="s">
        <v>183</v>
      </c>
      <c r="O8" s="103" t="s">
        <v>362</v>
      </c>
      <c r="P8" s="103"/>
      <c r="Q8" s="103"/>
      <c r="R8" s="103"/>
      <c r="S8" s="129">
        <f>IF($P$5="-","-",P5/8)</f>
        <v>0</v>
      </c>
      <c r="T8" s="129"/>
      <c r="U8" s="140" t="s">
        <v>117</v>
      </c>
      <c r="V8" s="80"/>
      <c r="W8" s="78"/>
    </row>
    <row r="9" spans="2:23" ht="12">
      <c r="B9" s="8"/>
      <c r="C9" s="22" t="str">
        <f>"("&amp;IF(SUM('【編集者】入力・計算用シート'!C80:F81)=4,IF('【編集者】入力・計算用シート'!A129="未就学児",'【編集者】入力・計算用シート'!A129,'【編集者】入力・計算用シート'!A130),"　ー　")&amp;")"</f>
        <v>(　ー　)</v>
      </c>
      <c r="D9" s="35"/>
      <c r="E9" s="47"/>
      <c r="F9" s="47"/>
      <c r="G9" s="47"/>
      <c r="H9" s="58"/>
      <c r="I9" s="58"/>
      <c r="J9" s="71"/>
      <c r="L9" s="78"/>
      <c r="M9" s="80"/>
      <c r="N9" s="89"/>
      <c r="O9" s="103"/>
      <c r="P9" s="103"/>
      <c r="Q9" s="103"/>
      <c r="R9" s="103"/>
      <c r="S9" s="129"/>
      <c r="T9" s="129"/>
      <c r="U9" s="140"/>
      <c r="V9" s="80"/>
      <c r="W9" s="78"/>
    </row>
    <row r="10" spans="2:23" ht="18.75" customHeight="1">
      <c r="B10" s="9" t="str">
        <f>試算シート!B9</f>
        <v/>
      </c>
      <c r="C10" s="23" t="s">
        <v>82</v>
      </c>
      <c r="D10" s="36"/>
      <c r="E10" s="48"/>
      <c r="F10" s="48"/>
      <c r="G10" s="48"/>
      <c r="H10" s="59"/>
      <c r="I10" s="59"/>
      <c r="J10" s="72"/>
      <c r="L10" s="78"/>
      <c r="M10" s="80"/>
      <c r="N10" s="80"/>
      <c r="O10" s="80"/>
      <c r="P10" s="80"/>
      <c r="Q10" s="80"/>
      <c r="R10" s="80"/>
      <c r="S10" s="80"/>
      <c r="T10" s="80"/>
      <c r="U10" s="80"/>
      <c r="V10" s="80"/>
      <c r="W10" s="78"/>
    </row>
    <row r="11" spans="2:23" ht="13.5" customHeight="1">
      <c r="B11" s="10"/>
      <c r="C11" s="24" t="str">
        <f>"("&amp;IF(SUM('【編集者】入力・計算用シート'!C82:F83)=4,IF('【編集者】入力・計算用シート'!A133="未就学児",'【編集者】入力・計算用シート'!A133,'【編集者】入力・計算用シート'!A134),"　ー　")&amp;")"</f>
        <v>(　ー　)</v>
      </c>
      <c r="D11" s="37"/>
      <c r="E11" s="49"/>
      <c r="F11" s="49"/>
      <c r="G11" s="49"/>
      <c r="H11" s="60"/>
      <c r="I11" s="60"/>
      <c r="J11" s="73"/>
      <c r="L11" s="78"/>
      <c r="M11" s="82"/>
      <c r="N11" s="82"/>
      <c r="O11" s="82"/>
      <c r="P11" s="82"/>
      <c r="Q11" s="82"/>
      <c r="R11" s="82"/>
      <c r="S11" s="82"/>
      <c r="T11" s="82"/>
      <c r="U11" s="78"/>
      <c r="V11" s="78"/>
      <c r="W11" s="78"/>
    </row>
    <row r="12" spans="2:23" ht="13.5" customHeight="1">
      <c r="B12" s="7" t="str">
        <f>試算シート!B11</f>
        <v/>
      </c>
      <c r="C12" s="25" t="s">
        <v>83</v>
      </c>
      <c r="D12" s="38"/>
      <c r="E12" s="50"/>
      <c r="F12" s="50"/>
      <c r="G12" s="50"/>
      <c r="H12" s="61"/>
      <c r="I12" s="61"/>
      <c r="J12" s="74"/>
      <c r="L12" s="78"/>
      <c r="M12" s="79" t="s">
        <v>122</v>
      </c>
      <c r="N12" s="79"/>
      <c r="O12" s="79"/>
      <c r="P12" s="82"/>
      <c r="Q12" s="82"/>
      <c r="R12" s="82"/>
      <c r="S12" s="82"/>
      <c r="T12" s="82"/>
      <c r="U12" s="78"/>
      <c r="V12" s="78"/>
      <c r="W12" s="78"/>
    </row>
    <row r="13" spans="2:23" ht="12.75">
      <c r="B13" s="8"/>
      <c r="C13" s="22" t="str">
        <f>"("&amp;IF(SUM('【編集者】入力・計算用シート'!C84:F85)=4,IF('【編集者】入力・計算用シート'!A137="未就学児",'【編集者】入力・計算用シート'!A137,'【編集者】入力・計算用シート'!A138),"　ー　")&amp;")"</f>
        <v>(　ー　)</v>
      </c>
      <c r="D13" s="35"/>
      <c r="E13" s="47"/>
      <c r="F13" s="47"/>
      <c r="G13" s="47"/>
      <c r="H13" s="58"/>
      <c r="I13" s="58"/>
      <c r="J13" s="71"/>
      <c r="L13" s="78"/>
      <c r="M13" s="83"/>
      <c r="N13" s="83"/>
      <c r="O13" s="104" t="s">
        <v>143</v>
      </c>
      <c r="P13" s="104"/>
      <c r="Q13" s="118">
        <f>IF($P$5="-","-",COUNTIF(B8:B25,"○"))</f>
        <v>0</v>
      </c>
      <c r="R13" s="118"/>
      <c r="S13" s="118"/>
      <c r="T13" s="134" t="s">
        <v>359</v>
      </c>
      <c r="U13" s="141"/>
      <c r="V13" s="78"/>
      <c r="W13" s="78"/>
    </row>
    <row r="14" spans="2:23" ht="12.75">
      <c r="B14" s="9" t="str">
        <f>試算シート!B13</f>
        <v/>
      </c>
      <c r="C14" s="23" t="s">
        <v>84</v>
      </c>
      <c r="D14" s="36"/>
      <c r="E14" s="48"/>
      <c r="F14" s="48"/>
      <c r="G14" s="48"/>
      <c r="H14" s="59"/>
      <c r="I14" s="59"/>
      <c r="J14" s="72"/>
      <c r="L14" s="78"/>
      <c r="M14" s="83"/>
      <c r="N14" s="83"/>
      <c r="O14" s="104" t="s">
        <v>166</v>
      </c>
      <c r="P14" s="104"/>
      <c r="Q14" s="118">
        <f>IF($P$5="-","-",SUM(試算シート!H6:H21))</f>
        <v>0</v>
      </c>
      <c r="R14" s="118"/>
      <c r="S14" s="118"/>
      <c r="T14" s="134" t="s">
        <v>115</v>
      </c>
      <c r="U14" s="141"/>
      <c r="V14" s="78"/>
      <c r="W14" s="78"/>
    </row>
    <row r="15" spans="2:23" ht="12.75">
      <c r="B15" s="10"/>
      <c r="C15" s="24" t="str">
        <f>"("&amp;IF(SUM('【編集者】入力・計算用シート'!C86:F87)=4,IF('【編集者】入力・計算用シート'!A141="未就学児",'【編集者】入力・計算用シート'!A141,'【編集者】入力・計算用シート'!A142),"　ー　")&amp;")"</f>
        <v>(　ー　)</v>
      </c>
      <c r="D15" s="37"/>
      <c r="E15" s="49"/>
      <c r="F15" s="49"/>
      <c r="G15" s="49"/>
      <c r="H15" s="60"/>
      <c r="I15" s="60"/>
      <c r="J15" s="73"/>
      <c r="L15" s="78"/>
      <c r="M15" s="83"/>
      <c r="N15" s="83"/>
      <c r="O15" s="104" t="s">
        <v>108</v>
      </c>
      <c r="P15" s="104"/>
      <c r="Q15" s="118">
        <f>IF($P$5="-","-",軽減判定シート!M6)</f>
        <v>0</v>
      </c>
      <c r="R15" s="118"/>
      <c r="S15" s="118"/>
      <c r="T15" s="134" t="s">
        <v>115</v>
      </c>
      <c r="U15" s="141"/>
      <c r="V15" s="78"/>
      <c r="W15" s="78"/>
    </row>
    <row r="16" spans="2:23" ht="12.75">
      <c r="B16" s="7" t="str">
        <f>試算シート!B15</f>
        <v/>
      </c>
      <c r="C16" s="25" t="s">
        <v>86</v>
      </c>
      <c r="D16" s="38"/>
      <c r="E16" s="50"/>
      <c r="F16" s="50"/>
      <c r="G16" s="50"/>
      <c r="H16" s="61"/>
      <c r="I16" s="61"/>
      <c r="J16" s="74"/>
      <c r="L16" s="78"/>
      <c r="M16" s="83"/>
      <c r="N16" s="83"/>
      <c r="O16" s="104" t="s">
        <v>104</v>
      </c>
      <c r="P16" s="104"/>
      <c r="Q16" s="118" t="str">
        <f>IF($P$5="-","-",VLOOKUP(試算シート!D30,試算シート!$J$30:$K$33,2,0))</f>
        <v>軽減なし</v>
      </c>
      <c r="R16" s="118"/>
      <c r="S16" s="118"/>
      <c r="T16" s="134"/>
      <c r="U16" s="141"/>
      <c r="V16" s="78"/>
      <c r="W16" s="78"/>
    </row>
    <row r="17" spans="2:23" ht="12.75">
      <c r="B17" s="8"/>
      <c r="C17" s="22" t="str">
        <f>"("&amp;IF(SUM('【編集者】入力・計算用シート'!C88:F89)=4,IF('【編集者】入力・計算用シート'!A145="未就学児",'【編集者】入力・計算用シート'!A145,'【編集者】入力・計算用シート'!A146),"　ー　")&amp;")"</f>
        <v>(　ー　)</v>
      </c>
      <c r="D17" s="35"/>
      <c r="E17" s="47"/>
      <c r="F17" s="47"/>
      <c r="G17" s="47"/>
      <c r="H17" s="58"/>
      <c r="I17" s="58"/>
      <c r="J17" s="71"/>
      <c r="L17" s="78"/>
      <c r="M17" s="83"/>
      <c r="N17" s="83"/>
      <c r="O17" s="105"/>
      <c r="P17" s="105"/>
      <c r="Q17" s="119"/>
      <c r="R17" s="119"/>
      <c r="S17" s="119"/>
      <c r="T17" s="135"/>
      <c r="U17" s="78"/>
      <c r="V17" s="78"/>
      <c r="W17" s="78"/>
    </row>
    <row r="18" spans="2:23" ht="12.75">
      <c r="B18" s="9" t="str">
        <f>試算シート!B17</f>
        <v/>
      </c>
      <c r="C18" s="23" t="s">
        <v>87</v>
      </c>
      <c r="D18" s="36"/>
      <c r="E18" s="48"/>
      <c r="F18" s="48"/>
      <c r="G18" s="48"/>
      <c r="H18" s="59"/>
      <c r="I18" s="59"/>
      <c r="J18" s="72"/>
      <c r="L18" s="78"/>
      <c r="M18" s="83"/>
      <c r="N18" s="83"/>
      <c r="O18" s="83"/>
      <c r="P18" s="82"/>
      <c r="Q18" s="82"/>
      <c r="R18" s="82"/>
      <c r="S18" s="82"/>
      <c r="T18" s="82"/>
      <c r="U18" s="78"/>
      <c r="V18" s="78"/>
      <c r="W18" s="78"/>
    </row>
    <row r="19" spans="2:23" ht="12.75">
      <c r="B19" s="10"/>
      <c r="C19" s="24" t="str">
        <f>"("&amp;IF(SUM('【編集者】入力・計算用シート'!C90:F91)=4,IF('【編集者】入力・計算用シート'!A149="未就学児",'【編集者】入力・計算用シート'!A149,'【編集者】入力・計算用シート'!A150),"　ー　")&amp;")"</f>
        <v>(　ー　)</v>
      </c>
      <c r="D19" s="37"/>
      <c r="E19" s="49"/>
      <c r="F19" s="49"/>
      <c r="G19" s="49"/>
      <c r="H19" s="60"/>
      <c r="I19" s="60"/>
      <c r="J19" s="73"/>
      <c r="L19" s="78"/>
      <c r="M19" s="78"/>
      <c r="N19" s="90"/>
      <c r="O19" s="106"/>
      <c r="P19" s="109"/>
      <c r="Q19" s="120" t="s">
        <v>96</v>
      </c>
      <c r="R19" s="120" t="s">
        <v>98</v>
      </c>
      <c r="S19" s="120" t="s">
        <v>99</v>
      </c>
      <c r="T19" s="120" t="s">
        <v>59</v>
      </c>
      <c r="U19" s="120" t="s">
        <v>321</v>
      </c>
      <c r="V19" s="78"/>
      <c r="W19" s="78"/>
    </row>
    <row r="20" spans="2:23" ht="12">
      <c r="B20" s="7" t="str">
        <f>試算シート!B19</f>
        <v/>
      </c>
      <c r="C20" s="26" t="s">
        <v>89</v>
      </c>
      <c r="D20" s="38"/>
      <c r="E20" s="50"/>
      <c r="F20" s="50"/>
      <c r="G20" s="50"/>
      <c r="H20" s="61"/>
      <c r="I20" s="61"/>
      <c r="J20" s="74"/>
      <c r="L20" s="78"/>
      <c r="M20" s="78"/>
      <c r="N20" s="91" t="s">
        <v>31</v>
      </c>
      <c r="O20" s="91"/>
      <c r="P20" s="91"/>
      <c r="Q20" s="121">
        <f>IF($P$5="-","-",'【編集者】入力・計算用シート'!C284)</f>
        <v>0</v>
      </c>
      <c r="R20" s="121">
        <f>IF($P$5="-","-",'【編集者】入力・計算用シート'!D284)</f>
        <v>0</v>
      </c>
      <c r="S20" s="121">
        <f>IF($P$5="-","-",'【編集者】入力・計算用シート'!E284)</f>
        <v>0</v>
      </c>
      <c r="T20" s="121">
        <f>IF($P$5="-","-",'【編集者】入力・計算用シート'!F284)</f>
        <v>0</v>
      </c>
      <c r="U20" s="121">
        <f>IF($P$5="-","-",'【編集者】入力・計算用シート'!G284)</f>
        <v>0</v>
      </c>
      <c r="V20" s="78"/>
      <c r="W20" s="78"/>
    </row>
    <row r="21" spans="2:23" ht="12">
      <c r="B21" s="8"/>
      <c r="C21" s="22" t="str">
        <f>"("&amp;IF(SUM('【編集者】入力・計算用シート'!C92:F93)=4,IF('【編集者】入力・計算用シート'!A153="未就学児",'【編集者】入力・計算用シート'!A153,'【編集者】入力・計算用シート'!A154),"　ー　")&amp;")"</f>
        <v>(　ー　)</v>
      </c>
      <c r="D21" s="39"/>
      <c r="E21" s="51"/>
      <c r="F21" s="51"/>
      <c r="G21" s="51"/>
      <c r="H21" s="58"/>
      <c r="I21" s="58"/>
      <c r="J21" s="71"/>
      <c r="L21" s="78"/>
      <c r="M21" s="78"/>
      <c r="N21" s="91" t="s">
        <v>16</v>
      </c>
      <c r="O21" s="91"/>
      <c r="P21" s="91"/>
      <c r="Q21" s="121">
        <f>IF($P$5="-","-",'【編集者】入力・計算用シート'!C285)</f>
        <v>0</v>
      </c>
      <c r="R21" s="121">
        <f>IF($P$5="-","-",'【編集者】入力・計算用シート'!D285)</f>
        <v>0</v>
      </c>
      <c r="S21" s="121">
        <f>IF($P$5="-","-",'【編集者】入力・計算用シート'!E285)</f>
        <v>0</v>
      </c>
      <c r="T21" s="121">
        <f>IF($P$5="-","-",'【編集者】入力・計算用シート'!F285)</f>
        <v>0</v>
      </c>
      <c r="U21" s="121">
        <f>IF($P$5="-","-",'【編集者】入力・計算用シート'!G285)</f>
        <v>0</v>
      </c>
      <c r="V21" s="78"/>
      <c r="W21" s="78"/>
    </row>
    <row r="22" spans="2:23" ht="12">
      <c r="B22" s="9" t="str">
        <f>試算シート!B21</f>
        <v/>
      </c>
      <c r="C22" s="23" t="s">
        <v>91</v>
      </c>
      <c r="D22" s="36"/>
      <c r="E22" s="48"/>
      <c r="F22" s="48"/>
      <c r="G22" s="48"/>
      <c r="H22" s="59"/>
      <c r="I22" s="59"/>
      <c r="J22" s="72"/>
      <c r="L22" s="78"/>
      <c r="M22" s="78"/>
      <c r="N22" s="91" t="s">
        <v>324</v>
      </c>
      <c r="O22" s="91"/>
      <c r="P22" s="91"/>
      <c r="Q22" s="121">
        <f>IF($P$5="-","-",'【編集者】入力・計算用シート'!C286)</f>
        <v>0</v>
      </c>
      <c r="R22" s="121">
        <f>IF($P$5="-","-",'【編集者】入力・計算用シート'!D286)</f>
        <v>0</v>
      </c>
      <c r="S22" s="121">
        <f>IF($P$5="-","-",'【編集者】入力・計算用シート'!E286)</f>
        <v>0</v>
      </c>
      <c r="T22" s="121">
        <f>IF($P$5="-","-",'【編集者】入力・計算用シート'!F286)</f>
        <v>0</v>
      </c>
      <c r="U22" s="121">
        <f>IF($P$5="-","-",'【編集者】入力・計算用シート'!G286)</f>
        <v>0</v>
      </c>
      <c r="V22" s="78"/>
      <c r="W22" s="78"/>
    </row>
    <row r="23" spans="2:23" ht="12">
      <c r="B23" s="11"/>
      <c r="C23" s="24" t="str">
        <f>"("&amp;IF(SUM('【編集者】入力・計算用シート'!C94:F95)=4,IF('【編集者】入力・計算用シート'!A157="未就学児",'【編集者】入力・計算用シート'!A157,'【編集者】入力・計算用シート'!A158),"　ー　")&amp;")"</f>
        <v>(　ー　)</v>
      </c>
      <c r="D23" s="40"/>
      <c r="E23" s="52"/>
      <c r="F23" s="52"/>
      <c r="G23" s="52"/>
      <c r="H23" s="62"/>
      <c r="I23" s="62"/>
      <c r="J23" s="73"/>
      <c r="L23" s="78"/>
      <c r="M23" s="78"/>
      <c r="N23" s="91" t="str">
        <f>IF(SUM(試算シート!X23:X24)&gt;0,"平等割（旧国軽減後）","平等割")</f>
        <v>平等割</v>
      </c>
      <c r="O23" s="91"/>
      <c r="P23" s="91"/>
      <c r="Q23" s="121">
        <f>IF($P$5="-","-",'【編集者】入力・計算用シート'!C287)</f>
        <v>0</v>
      </c>
      <c r="R23" s="121">
        <f>IF($P$5="-","-",'【編集者】入力・計算用シート'!D287)</f>
        <v>0</v>
      </c>
      <c r="S23" s="121">
        <f>IF($P$5="-","-",'【編集者】入力・計算用シート'!E287)</f>
        <v>0</v>
      </c>
      <c r="T23" s="121">
        <f>IF($P$5="-","-",'【編集者】入力・計算用シート'!F287)</f>
        <v>0</v>
      </c>
      <c r="U23" s="121">
        <f>IF($P$5="-","-",'【編集者】入力・計算用シート'!G287)</f>
        <v>0</v>
      </c>
      <c r="V23" s="78"/>
      <c r="W23" s="78"/>
    </row>
    <row r="24" spans="2:23" ht="12">
      <c r="B24" s="12"/>
      <c r="C24" s="27" t="s">
        <v>281</v>
      </c>
      <c r="D24" s="41"/>
      <c r="E24" s="41"/>
      <c r="F24" s="41"/>
      <c r="G24" s="41"/>
      <c r="H24" s="63"/>
      <c r="I24" s="61"/>
      <c r="J24" s="75"/>
      <c r="L24" s="78"/>
      <c r="M24" s="78"/>
      <c r="N24" s="92" t="s">
        <v>318</v>
      </c>
      <c r="O24" s="92"/>
      <c r="P24" s="92"/>
      <c r="Q24" s="121">
        <f>IF($P$5="-","-",'【編集者】入力・計算用シート'!C288)</f>
        <v>0</v>
      </c>
      <c r="R24" s="121">
        <f>IF($P$5="-","-",'【編集者】入力・計算用シート'!D288)</f>
        <v>0</v>
      </c>
      <c r="S24" s="121">
        <f>IF($P$5="-","-",'【編集者】入力・計算用シート'!E288)</f>
        <v>0</v>
      </c>
      <c r="T24" s="121">
        <f>IF($P$5="-","-",'【編集者】入力・計算用シート'!F288)</f>
        <v>0</v>
      </c>
      <c r="U24" s="121">
        <f>IF($P$5="-","-",'【編集者】入力・計算用シート'!G288)</f>
        <v>0</v>
      </c>
      <c r="V24" s="78"/>
      <c r="W24" s="78"/>
    </row>
    <row r="25" spans="2:23">
      <c r="B25" s="13"/>
      <c r="C25" s="28"/>
      <c r="D25" s="42"/>
      <c r="E25" s="42"/>
      <c r="F25" s="42"/>
      <c r="G25" s="42"/>
      <c r="H25" s="64"/>
      <c r="I25" s="67"/>
      <c r="J25" s="76"/>
      <c r="L25" s="78"/>
      <c r="M25" s="84" t="s">
        <v>308</v>
      </c>
      <c r="N25" s="93" t="s">
        <v>354</v>
      </c>
      <c r="O25" s="94" t="s">
        <v>16</v>
      </c>
      <c r="P25" s="94"/>
      <c r="Q25" s="122">
        <f>IF($P$5="-","-",'【編集者】入力・計算用シート'!C289)</f>
        <v>0</v>
      </c>
      <c r="R25" s="122">
        <f>IF($P$5="-","-",'【編集者】入力・計算用シート'!D289)</f>
        <v>0</v>
      </c>
      <c r="S25" s="122">
        <f>IF($P$5="-","-",'【編集者】入力・計算用シート'!E289)</f>
        <v>0</v>
      </c>
      <c r="T25" s="122">
        <f>IF($P$5="-","-",'【編集者】入力・計算用シート'!F289)</f>
        <v>0</v>
      </c>
      <c r="U25" s="122">
        <f>IF($P$5="-","-",'【編集者】入力・計算用シート'!G289)</f>
        <v>0</v>
      </c>
      <c r="V25" s="78"/>
      <c r="W25" s="78"/>
    </row>
    <row r="26" spans="2:23">
      <c r="L26" s="78"/>
      <c r="M26" s="84" t="s">
        <v>308</v>
      </c>
      <c r="N26" s="93"/>
      <c r="O26" s="94" t="s">
        <v>324</v>
      </c>
      <c r="P26" s="94"/>
      <c r="Q26" s="122"/>
      <c r="R26" s="122"/>
      <c r="S26" s="122"/>
      <c r="T26" s="122">
        <f>IF($P$5="-","-",'【編集者】入力・計算用シート'!F290)</f>
        <v>0</v>
      </c>
      <c r="U26" s="122">
        <f>IF($P$5="-","-",'【編集者】入力・計算用シート'!G290)</f>
        <v>0</v>
      </c>
      <c r="V26" s="78"/>
      <c r="W26" s="78"/>
    </row>
    <row r="27" spans="2:23">
      <c r="B27" s="14" t="s">
        <v>325</v>
      </c>
      <c r="C27" s="14"/>
      <c r="L27" s="78"/>
      <c r="M27" s="84" t="s">
        <v>308</v>
      </c>
      <c r="N27" s="93"/>
      <c r="O27" s="94" t="s">
        <v>12</v>
      </c>
      <c r="P27" s="94"/>
      <c r="Q27" s="122">
        <f>IF($P$5="-","-",'【編集者】入力・計算用シート'!C291)</f>
        <v>0</v>
      </c>
      <c r="R27" s="122">
        <f>IF($P$5="-","-",'【編集者】入力・計算用シート'!D291)</f>
        <v>0</v>
      </c>
      <c r="S27" s="122">
        <f>IF($P$5="-","-",'【編集者】入力・計算用シート'!E291)</f>
        <v>0</v>
      </c>
      <c r="T27" s="122">
        <f>IF($P$5="-","-",'【編集者】入力・計算用シート'!F291)</f>
        <v>0</v>
      </c>
      <c r="U27" s="122">
        <f>IF($P$5="-","-",'【編集者】入力・計算用シート'!G291)</f>
        <v>0</v>
      </c>
      <c r="V27" s="78"/>
      <c r="W27" s="78"/>
    </row>
    <row r="28" spans="2:23">
      <c r="B28" s="14"/>
      <c r="C28" s="14"/>
      <c r="D28" s="43"/>
      <c r="E28" s="43"/>
      <c r="F28" s="43"/>
      <c r="G28" s="43"/>
      <c r="H28" s="43"/>
      <c r="I28" s="43"/>
      <c r="J28" s="43"/>
      <c r="L28" s="78"/>
      <c r="M28" s="84" t="s">
        <v>308</v>
      </c>
      <c r="N28" s="93" t="s">
        <v>190</v>
      </c>
      <c r="O28" s="93"/>
      <c r="P28" s="93"/>
      <c r="Q28" s="122">
        <f>IF($P$5="-","-",'【編集者】入力・計算用シート'!C292)</f>
        <v>0</v>
      </c>
      <c r="R28" s="122">
        <f>IF($P$5="-","-",'【編集者】入力・計算用シート'!D292)</f>
        <v>0</v>
      </c>
      <c r="S28" s="122">
        <f>IF($P$5="-","-",'【編集者】入力・計算用シート'!E292)</f>
        <v>0</v>
      </c>
      <c r="T28" s="122">
        <f>IF($P$5="-","-",'【編集者】入力・計算用シート'!F292)</f>
        <v>0</v>
      </c>
      <c r="U28" s="122">
        <f>IF($P$5="-","-",'【編集者】入力・計算用シート'!G292)</f>
        <v>0</v>
      </c>
      <c r="V28" s="78"/>
      <c r="W28" s="78"/>
    </row>
    <row r="29" spans="2:23">
      <c r="B29" s="15" t="s">
        <v>311</v>
      </c>
      <c r="C29" s="15"/>
      <c r="D29" s="15"/>
      <c r="E29" s="15"/>
      <c r="F29" s="15"/>
      <c r="G29" s="15"/>
      <c r="H29" s="15"/>
      <c r="I29" s="15"/>
      <c r="J29" s="15"/>
      <c r="L29" s="78"/>
      <c r="M29" s="84" t="s">
        <v>308</v>
      </c>
      <c r="N29" s="93" t="s">
        <v>326</v>
      </c>
      <c r="O29" s="93"/>
      <c r="P29" s="93"/>
      <c r="Q29" s="122"/>
      <c r="R29" s="122"/>
      <c r="S29" s="122"/>
      <c r="T29" s="122">
        <f>IF($P$5="-","-",'【編集者】入力・計算用シート'!F293)</f>
        <v>0</v>
      </c>
      <c r="U29" s="122">
        <f>IF($P$5="-","-",'【編集者】入力・計算用シート'!G293)</f>
        <v>0</v>
      </c>
      <c r="V29" s="78"/>
      <c r="W29" s="78"/>
    </row>
    <row r="30" spans="2:23">
      <c r="B30" s="15"/>
      <c r="C30" s="15"/>
      <c r="D30" s="15"/>
      <c r="E30" s="15"/>
      <c r="F30" s="15"/>
      <c r="G30" s="15"/>
      <c r="H30" s="15"/>
      <c r="I30" s="15"/>
      <c r="J30" s="15"/>
      <c r="L30" s="78"/>
      <c r="M30" s="84" t="s">
        <v>308</v>
      </c>
      <c r="N30" s="94" t="s">
        <v>285</v>
      </c>
      <c r="O30" s="94"/>
      <c r="P30" s="94"/>
      <c r="Q30" s="122">
        <f>IF($P$5="-","-",'【編集者】入力・計算用シート'!C294)</f>
        <v>0</v>
      </c>
      <c r="R30" s="122">
        <f>IF($P$5="-","-",'【編集者】入力・計算用シート'!D294)</f>
        <v>0</v>
      </c>
      <c r="S30" s="122">
        <f>IF($P$5="-","-",'【編集者】入力・計算用シート'!E294)</f>
        <v>0</v>
      </c>
      <c r="T30" s="122">
        <f>IF($P$5="-","-",'【編集者】入力・計算用シート'!F294)</f>
        <v>0</v>
      </c>
      <c r="U30" s="122">
        <f>IF($P$5="-","-",'【編集者】入力・計算用シート'!G294)</f>
        <v>0</v>
      </c>
      <c r="V30" s="78"/>
      <c r="W30" s="78"/>
    </row>
    <row r="31" spans="2:23" ht="12">
      <c r="B31" s="15"/>
      <c r="C31" s="15"/>
      <c r="D31" s="15"/>
      <c r="E31" s="15"/>
      <c r="F31" s="15"/>
      <c r="G31" s="15"/>
      <c r="H31" s="15"/>
      <c r="I31" s="15"/>
      <c r="J31" s="15"/>
      <c r="L31" s="78"/>
      <c r="M31" s="84" t="s">
        <v>308</v>
      </c>
      <c r="N31" s="95" t="s">
        <v>314</v>
      </c>
      <c r="O31" s="95"/>
      <c r="P31" s="95"/>
      <c r="Q31" s="123">
        <f>IF($P$5="-","-",'【編集者】入力・計算用シート'!C295)</f>
        <v>0</v>
      </c>
      <c r="R31" s="123">
        <f>IF($P$5="-","-",'【編集者】入力・計算用シート'!D295)</f>
        <v>0</v>
      </c>
      <c r="S31" s="123">
        <f>IF($P$5="-","-",'【編集者】入力・計算用シート'!E295)</f>
        <v>0</v>
      </c>
      <c r="T31" s="123">
        <f>IF($P$5="-","-",'【編集者】入力・計算用シート'!F295)</f>
        <v>0</v>
      </c>
      <c r="U31" s="123">
        <f>IF($P$5="-","-",'【編集者】入力・計算用シート'!G295)</f>
        <v>0</v>
      </c>
      <c r="V31" s="78"/>
      <c r="W31" s="78"/>
    </row>
    <row r="32" spans="2:23" ht="13.5">
      <c r="B32" s="15"/>
      <c r="C32" s="15"/>
      <c r="D32" s="15"/>
      <c r="E32" s="15"/>
      <c r="F32" s="15"/>
      <c r="G32" s="15"/>
      <c r="H32" s="15"/>
      <c r="I32" s="15"/>
      <c r="J32" s="15"/>
      <c r="L32" s="78"/>
      <c r="M32" s="78"/>
      <c r="N32" s="96" t="s">
        <v>320</v>
      </c>
      <c r="O32" s="107"/>
      <c r="P32" s="107"/>
      <c r="Q32" s="124">
        <f>IF($P$5="-","-",'【編集者】入力・計算用シート'!C296)</f>
        <v>0</v>
      </c>
      <c r="R32" s="124">
        <f>IF($P$5="-","-",'【編集者】入力・計算用シート'!D296)</f>
        <v>0</v>
      </c>
      <c r="S32" s="124">
        <f>IF($P$5="-","-",'【編集者】入力・計算用シート'!E296)</f>
        <v>0</v>
      </c>
      <c r="T32" s="124">
        <f>IF($P$5="-","-",'【編集者】入力・計算用シート'!F296)</f>
        <v>0</v>
      </c>
      <c r="U32" s="142">
        <f>IF($P$5="-","-",'【編集者】入力・計算用シート'!G296)</f>
        <v>0</v>
      </c>
      <c r="V32" s="78"/>
      <c r="W32" s="78"/>
    </row>
    <row r="33" spans="1:23" ht="12">
      <c r="B33" s="15"/>
      <c r="C33" s="15"/>
      <c r="D33" s="15"/>
      <c r="E33" s="15"/>
      <c r="F33" s="15"/>
      <c r="G33" s="15"/>
      <c r="H33" s="15"/>
      <c r="I33" s="15"/>
      <c r="J33" s="15"/>
      <c r="L33" s="78"/>
      <c r="M33" s="78"/>
      <c r="N33" s="97"/>
      <c r="O33" s="108"/>
      <c r="P33" s="108"/>
      <c r="Q33" s="125"/>
      <c r="R33" s="125"/>
      <c r="S33" s="125"/>
      <c r="T33" s="125"/>
      <c r="U33" s="125"/>
      <c r="V33" s="78"/>
      <c r="W33" s="78"/>
    </row>
    <row r="34" spans="1:23">
      <c r="B34" s="15"/>
      <c r="C34" s="15"/>
      <c r="D34" s="15"/>
      <c r="E34" s="15"/>
      <c r="F34" s="15"/>
      <c r="G34" s="15"/>
      <c r="H34" s="15"/>
      <c r="I34" s="15"/>
      <c r="J34" s="15"/>
      <c r="L34" s="78"/>
      <c r="M34" s="78"/>
      <c r="N34" s="78"/>
      <c r="O34" s="78"/>
      <c r="P34" s="78"/>
      <c r="Q34" s="78"/>
      <c r="R34" s="78"/>
      <c r="S34" s="78"/>
      <c r="T34" s="78"/>
      <c r="U34" s="78"/>
      <c r="V34" s="78"/>
      <c r="W34" s="78"/>
    </row>
    <row r="35" spans="1:23" ht="14.25">
      <c r="L35" s="78"/>
      <c r="M35" s="79" t="s">
        <v>180</v>
      </c>
      <c r="N35" s="79"/>
      <c r="O35" s="79"/>
      <c r="P35" s="78"/>
      <c r="Q35" s="78"/>
      <c r="R35" s="78"/>
      <c r="S35" s="78"/>
      <c r="T35" s="78"/>
      <c r="U35" s="78"/>
      <c r="V35" s="78"/>
      <c r="W35" s="78"/>
    </row>
    <row r="36" spans="1:23">
      <c r="L36" s="78"/>
      <c r="M36" s="78"/>
      <c r="N36" s="78"/>
      <c r="O36" s="78"/>
      <c r="P36" s="78"/>
      <c r="Q36" s="78"/>
      <c r="R36" s="78"/>
      <c r="S36" s="78"/>
      <c r="T36" s="78"/>
      <c r="U36" s="78"/>
      <c r="V36" s="78"/>
      <c r="W36" s="78"/>
    </row>
    <row r="37" spans="1:23">
      <c r="L37" s="78"/>
      <c r="M37" s="78"/>
      <c r="N37" s="90"/>
      <c r="O37" s="109"/>
      <c r="P37" s="90" t="s">
        <v>123</v>
      </c>
      <c r="Q37" s="109"/>
      <c r="R37" s="90" t="s">
        <v>184</v>
      </c>
      <c r="S37" s="106"/>
      <c r="T37" s="109"/>
      <c r="U37" s="98" t="s">
        <v>163</v>
      </c>
      <c r="V37" s="78"/>
      <c r="W37" s="78"/>
    </row>
    <row r="38" spans="1:23" ht="13.9" customHeight="1">
      <c r="A38" s="2"/>
      <c r="L38" s="78"/>
      <c r="M38" s="78"/>
      <c r="N38" s="98" t="s">
        <v>125</v>
      </c>
      <c r="O38" s="98"/>
      <c r="P38" s="98" t="s">
        <v>119</v>
      </c>
      <c r="Q38" s="98"/>
      <c r="R38" s="126">
        <f>'【編集者】入力・計算用シート'!C33</f>
        <v>6.4000000000000001e-002</v>
      </c>
      <c r="S38" s="130"/>
      <c r="T38" s="136"/>
      <c r="U38" s="99" t="s">
        <v>282</v>
      </c>
      <c r="V38" s="78"/>
      <c r="W38" s="78"/>
    </row>
    <row r="39" spans="1:23" ht="13.9" customHeight="1">
      <c r="L39" s="78"/>
      <c r="M39" s="78"/>
      <c r="N39" s="98"/>
      <c r="O39" s="98"/>
      <c r="P39" s="98" t="s">
        <v>16</v>
      </c>
      <c r="Q39" s="98"/>
      <c r="R39" s="127">
        <f>'【編集者】入力・計算用シート'!C34</f>
        <v>25000</v>
      </c>
      <c r="S39" s="131"/>
      <c r="T39" s="136" t="s">
        <v>115</v>
      </c>
      <c r="U39" s="98"/>
      <c r="V39" s="78"/>
      <c r="W39" s="78"/>
    </row>
    <row r="40" spans="1:23" ht="13.9" customHeight="1">
      <c r="L40" s="78"/>
      <c r="M40" s="78"/>
      <c r="N40" s="98"/>
      <c r="O40" s="98"/>
      <c r="P40" s="98" t="s">
        <v>130</v>
      </c>
      <c r="Q40" s="98"/>
      <c r="R40" s="127">
        <f>'【編集者】入力・計算用シート'!C46</f>
        <v>17500</v>
      </c>
      <c r="S40" s="131"/>
      <c r="T40" s="136" t="s">
        <v>115</v>
      </c>
      <c r="U40" s="98"/>
      <c r="V40" s="78"/>
      <c r="W40" s="78"/>
    </row>
    <row r="41" spans="1:23" ht="13.9" customHeight="1">
      <c r="L41" s="78"/>
      <c r="M41" s="78"/>
      <c r="N41" s="98"/>
      <c r="O41" s="98"/>
      <c r="P41" s="98" t="s">
        <v>131</v>
      </c>
      <c r="Q41" s="98"/>
      <c r="R41" s="127">
        <f>'【編集者】入力・計算用シート'!C50</f>
        <v>670000</v>
      </c>
      <c r="S41" s="131"/>
      <c r="T41" s="136" t="s">
        <v>115</v>
      </c>
      <c r="U41" s="98"/>
      <c r="V41" s="78"/>
      <c r="W41" s="78"/>
    </row>
    <row r="42" spans="1:23" ht="13.9" customHeight="1">
      <c r="L42" s="78"/>
      <c r="M42" s="78"/>
      <c r="N42" s="99" t="s">
        <v>181</v>
      </c>
      <c r="O42" s="99"/>
      <c r="P42" s="98" t="s">
        <v>119</v>
      </c>
      <c r="Q42" s="98"/>
      <c r="R42" s="126">
        <f>'【編集者】入力・計算用シート'!D33</f>
        <v>2.3e-002</v>
      </c>
      <c r="S42" s="130"/>
      <c r="T42" s="136"/>
      <c r="U42" s="99" t="s">
        <v>282</v>
      </c>
      <c r="V42" s="78"/>
      <c r="W42" s="78"/>
    </row>
    <row r="43" spans="1:23" ht="13.9" customHeight="1">
      <c r="L43" s="78"/>
      <c r="M43" s="78"/>
      <c r="N43" s="99"/>
      <c r="O43" s="99"/>
      <c r="P43" s="98" t="s">
        <v>16</v>
      </c>
      <c r="Q43" s="98"/>
      <c r="R43" s="127">
        <f>'【編集者】入力・計算用シート'!D34</f>
        <v>8200</v>
      </c>
      <c r="S43" s="131"/>
      <c r="T43" s="136" t="s">
        <v>115</v>
      </c>
      <c r="U43" s="98"/>
      <c r="V43" s="78"/>
      <c r="W43" s="78"/>
    </row>
    <row r="44" spans="1:23" ht="13.9" customHeight="1">
      <c r="L44" s="78"/>
      <c r="M44" s="78"/>
      <c r="N44" s="99"/>
      <c r="O44" s="99"/>
      <c r="P44" s="98" t="s">
        <v>130</v>
      </c>
      <c r="Q44" s="98"/>
      <c r="R44" s="127">
        <f>'【編集者】入力・計算用シート'!D46</f>
        <v>7000</v>
      </c>
      <c r="S44" s="131"/>
      <c r="T44" s="136" t="s">
        <v>115</v>
      </c>
      <c r="U44" s="98"/>
      <c r="V44" s="78"/>
      <c r="W44" s="78"/>
    </row>
    <row r="45" spans="1:23" ht="13.9" customHeight="1">
      <c r="L45" s="78"/>
      <c r="M45" s="78"/>
      <c r="N45" s="99"/>
      <c r="O45" s="99"/>
      <c r="P45" s="98" t="s">
        <v>131</v>
      </c>
      <c r="Q45" s="98"/>
      <c r="R45" s="127">
        <f>'【編集者】入力・計算用シート'!D50</f>
        <v>260000</v>
      </c>
      <c r="S45" s="131"/>
      <c r="T45" s="136" t="s">
        <v>115</v>
      </c>
      <c r="U45" s="98"/>
      <c r="V45" s="78"/>
      <c r="W45" s="78"/>
    </row>
    <row r="46" spans="1:23" ht="13.9" customHeight="1">
      <c r="L46" s="78"/>
      <c r="M46" s="78"/>
      <c r="N46" s="98" t="s">
        <v>128</v>
      </c>
      <c r="O46" s="98"/>
      <c r="P46" s="98" t="s">
        <v>119</v>
      </c>
      <c r="Q46" s="98"/>
      <c r="R46" s="126">
        <f>'【編集者】入力・計算用シート'!E33</f>
        <v>2.3e-002</v>
      </c>
      <c r="S46" s="130"/>
      <c r="T46" s="136"/>
      <c r="U46" s="99" t="s">
        <v>333</v>
      </c>
      <c r="V46" s="78"/>
      <c r="W46" s="78"/>
    </row>
    <row r="47" spans="1:23" ht="13.9" customHeight="1">
      <c r="L47" s="78"/>
      <c r="M47" s="78"/>
      <c r="N47" s="98"/>
      <c r="O47" s="98"/>
      <c r="P47" s="98" t="s">
        <v>16</v>
      </c>
      <c r="Q47" s="98"/>
      <c r="R47" s="127">
        <f>'【編集者】入力・計算用シート'!E34</f>
        <v>9500</v>
      </c>
      <c r="S47" s="131"/>
      <c r="T47" s="136" t="s">
        <v>115</v>
      </c>
      <c r="U47" s="98"/>
      <c r="V47" s="78"/>
      <c r="W47" s="78"/>
    </row>
    <row r="48" spans="1:23" ht="13.9" customHeight="1">
      <c r="L48" s="78"/>
      <c r="M48" s="78"/>
      <c r="N48" s="98"/>
      <c r="O48" s="98"/>
      <c r="P48" s="98" t="s">
        <v>130</v>
      </c>
      <c r="Q48" s="98"/>
      <c r="R48" s="127">
        <f>'【編集者】入力・計算用シート'!E46</f>
        <v>6500</v>
      </c>
      <c r="S48" s="131"/>
      <c r="T48" s="136" t="s">
        <v>115</v>
      </c>
      <c r="U48" s="98"/>
      <c r="V48" s="78"/>
      <c r="W48" s="78"/>
    </row>
    <row r="49" spans="12:23" ht="13.9" customHeight="1">
      <c r="L49" s="78"/>
      <c r="M49" s="78"/>
      <c r="N49" s="98"/>
      <c r="O49" s="98"/>
      <c r="P49" s="98" t="s">
        <v>131</v>
      </c>
      <c r="Q49" s="98"/>
      <c r="R49" s="127">
        <f>'【編集者】入力・計算用シート'!E50</f>
        <v>170000</v>
      </c>
      <c r="S49" s="131"/>
      <c r="T49" s="136" t="s">
        <v>115</v>
      </c>
      <c r="U49" s="98"/>
      <c r="V49" s="78"/>
      <c r="W49" s="78"/>
    </row>
    <row r="50" spans="12:23" ht="13.9" customHeight="1">
      <c r="L50" s="78"/>
      <c r="M50" s="78"/>
      <c r="N50" s="99" t="s">
        <v>182</v>
      </c>
      <c r="O50" s="99"/>
      <c r="P50" s="98" t="s">
        <v>119</v>
      </c>
      <c r="Q50" s="98"/>
      <c r="R50" s="126">
        <f>'【編集者】入力・計算用シート'!F33</f>
        <v>3.0999999999999999e-003</v>
      </c>
      <c r="S50" s="130"/>
      <c r="T50" s="136"/>
      <c r="U50" s="99" t="s">
        <v>322</v>
      </c>
      <c r="V50" s="78"/>
      <c r="W50" s="78"/>
    </row>
    <row r="51" spans="12:23" ht="13.9" customHeight="1">
      <c r="L51" s="78"/>
      <c r="M51" s="78"/>
      <c r="N51" s="99"/>
      <c r="O51" s="99"/>
      <c r="P51" s="98" t="s">
        <v>16</v>
      </c>
      <c r="Q51" s="98"/>
      <c r="R51" s="127">
        <f>'【編集者】入力・計算用シート'!F34</f>
        <v>1340</v>
      </c>
      <c r="S51" s="131"/>
      <c r="T51" s="136" t="s">
        <v>115</v>
      </c>
      <c r="U51" s="98"/>
      <c r="V51" s="78"/>
      <c r="W51" s="78"/>
    </row>
    <row r="52" spans="12:23">
      <c r="L52" s="78"/>
      <c r="M52" s="78"/>
      <c r="N52" s="99"/>
      <c r="O52" s="99"/>
      <c r="P52" s="98" t="s">
        <v>161</v>
      </c>
      <c r="Q52" s="98"/>
      <c r="R52" s="127">
        <f>'【編集者】入力・計算用シート'!F42</f>
        <v>80</v>
      </c>
      <c r="S52" s="131"/>
      <c r="T52" s="136" t="s">
        <v>115</v>
      </c>
      <c r="U52" s="98"/>
      <c r="V52" s="78"/>
      <c r="W52" s="78"/>
    </row>
    <row r="53" spans="12:23">
      <c r="L53" s="78"/>
      <c r="M53" s="78"/>
      <c r="N53" s="99"/>
      <c r="O53" s="99"/>
      <c r="P53" s="98" t="s">
        <v>69</v>
      </c>
      <c r="Q53" s="98"/>
      <c r="R53" s="127">
        <f>'【編集者】入力・計算用シート'!F46</f>
        <v>860</v>
      </c>
      <c r="S53" s="131"/>
      <c r="T53" s="136" t="s">
        <v>115</v>
      </c>
      <c r="U53" s="98"/>
      <c r="V53" s="78"/>
      <c r="W53" s="78"/>
    </row>
    <row r="54" spans="12:23">
      <c r="L54" s="78"/>
      <c r="M54" s="78"/>
      <c r="N54" s="99"/>
      <c r="O54" s="99"/>
      <c r="P54" s="98" t="s">
        <v>131</v>
      </c>
      <c r="Q54" s="98"/>
      <c r="R54" s="127">
        <f>'【編集者】入力・計算用シート'!F50</f>
        <v>30000</v>
      </c>
      <c r="S54" s="131"/>
      <c r="T54" s="136" t="s">
        <v>115</v>
      </c>
      <c r="U54" s="98"/>
      <c r="V54" s="78"/>
      <c r="W54" s="78"/>
    </row>
    <row r="55" spans="12:23">
      <c r="L55" s="78"/>
      <c r="M55" s="78"/>
      <c r="N55" s="78"/>
      <c r="O55" s="78"/>
      <c r="P55" s="78"/>
      <c r="Q55" s="78"/>
      <c r="R55" s="78"/>
      <c r="S55" s="78"/>
      <c r="T55" s="78"/>
      <c r="U55" s="78"/>
      <c r="V55" s="78"/>
      <c r="W55" s="78"/>
    </row>
    <row r="56" spans="12:23">
      <c r="L56" s="78"/>
      <c r="M56" s="78"/>
      <c r="N56" s="78"/>
      <c r="O56" s="78"/>
      <c r="P56" s="78"/>
      <c r="Q56" s="78"/>
      <c r="R56" s="78"/>
      <c r="S56" s="78"/>
      <c r="T56" s="78"/>
      <c r="U56" s="78"/>
      <c r="V56" s="78"/>
      <c r="W56" s="78"/>
    </row>
    <row r="57" spans="12:23" ht="14.25">
      <c r="L57" s="78"/>
      <c r="M57" s="85" t="s">
        <v>376</v>
      </c>
      <c r="N57" s="85"/>
      <c r="O57" s="78"/>
      <c r="P57" s="78"/>
      <c r="Q57" s="78"/>
      <c r="R57" s="78"/>
      <c r="S57" s="78"/>
      <c r="T57" s="78"/>
      <c r="U57" s="143"/>
      <c r="V57" s="78"/>
      <c r="W57" s="78"/>
    </row>
    <row r="58" spans="12:23">
      <c r="L58" s="78"/>
      <c r="M58" s="78"/>
      <c r="N58" s="78"/>
      <c r="O58" s="110"/>
      <c r="P58" s="110"/>
      <c r="Q58" s="110"/>
      <c r="R58" s="110"/>
      <c r="S58" s="110"/>
      <c r="T58" s="110"/>
      <c r="U58" s="110"/>
      <c r="V58" s="78"/>
      <c r="W58" s="78"/>
    </row>
    <row r="59" spans="12:23">
      <c r="L59" s="78"/>
      <c r="M59" s="78"/>
      <c r="N59" s="90"/>
      <c r="O59" s="109"/>
      <c r="P59" s="116" t="s">
        <v>374</v>
      </c>
      <c r="Q59" s="116"/>
      <c r="R59" s="116"/>
      <c r="S59" s="116"/>
      <c r="T59" s="116"/>
      <c r="U59" s="116"/>
      <c r="V59" s="116"/>
      <c r="W59" s="78"/>
    </row>
    <row r="60" spans="12:23" ht="18.75" customHeight="1">
      <c r="L60" s="78"/>
      <c r="M60" s="78"/>
      <c r="N60" s="100" t="s">
        <v>75</v>
      </c>
      <c r="O60" s="111"/>
      <c r="P60" s="117" t="str">
        <f>'【編集者】入力・計算用シート'!J8</f>
        <v>430000円＋（給与所得者等の数－1）×100000円</v>
      </c>
      <c r="Q60" s="117"/>
      <c r="R60" s="117"/>
      <c r="S60" s="117"/>
      <c r="T60" s="117"/>
      <c r="U60" s="117"/>
      <c r="V60" s="117"/>
      <c r="W60" s="78"/>
    </row>
    <row r="61" spans="12:23" ht="18.75" customHeight="1">
      <c r="L61" s="78"/>
      <c r="M61" s="78"/>
      <c r="N61" s="101"/>
      <c r="O61" s="112"/>
      <c r="P61" s="117"/>
      <c r="Q61" s="117"/>
      <c r="R61" s="117"/>
      <c r="S61" s="117"/>
      <c r="T61" s="117"/>
      <c r="U61" s="117"/>
      <c r="V61" s="117"/>
      <c r="W61" s="78"/>
    </row>
    <row r="62" spans="12:23" ht="18.75" customHeight="1">
      <c r="L62" s="78"/>
      <c r="M62" s="78"/>
      <c r="N62" s="100" t="str">
        <v>５割</v>
      </c>
      <c r="O62" s="111"/>
      <c r="P62" s="117" t="str">
        <f>'【編集者】入力・計算用シート'!J9</f>
        <v>430000円+310000円×（被保険者の数＋特定同一世帯所属者の数）
＋（給与所得者等の数－1）×100000円</v>
      </c>
      <c r="Q62" s="117"/>
      <c r="R62" s="117"/>
      <c r="S62" s="117"/>
      <c r="T62" s="117"/>
      <c r="U62" s="117"/>
      <c r="V62" s="117"/>
      <c r="W62" s="78"/>
    </row>
    <row r="63" spans="12:23" ht="18.75" customHeight="1">
      <c r="L63" s="78"/>
      <c r="M63" s="78"/>
      <c r="N63" s="101"/>
      <c r="O63" s="112"/>
      <c r="P63" s="117"/>
      <c r="Q63" s="117"/>
      <c r="R63" s="117"/>
      <c r="S63" s="117"/>
      <c r="T63" s="117"/>
      <c r="U63" s="117"/>
      <c r="V63" s="117"/>
      <c r="W63" s="78"/>
    </row>
    <row r="64" spans="12:23" ht="18.75" customHeight="1">
      <c r="L64" s="78"/>
      <c r="M64" s="78"/>
      <c r="N64" s="100" t="str">
        <v>２割</v>
      </c>
      <c r="O64" s="111"/>
      <c r="P64" s="117" t="str">
        <f>'【編集者】入力・計算用シート'!J10</f>
        <v>430000円+570000円×（被保険者の数＋特定同一世帯所属者の数）
＋（給与所得者等の数－1）×100000円</v>
      </c>
      <c r="Q64" s="117"/>
      <c r="R64" s="117"/>
      <c r="S64" s="117"/>
      <c r="T64" s="117"/>
      <c r="U64" s="117"/>
      <c r="V64" s="117"/>
      <c r="W64" s="78"/>
    </row>
    <row r="65" spans="12:23" ht="18.75" customHeight="1">
      <c r="L65" s="78"/>
      <c r="M65" s="78"/>
      <c r="N65" s="101"/>
      <c r="O65" s="112"/>
      <c r="P65" s="117"/>
      <c r="Q65" s="117"/>
      <c r="R65" s="117"/>
      <c r="S65" s="117"/>
      <c r="T65" s="117"/>
      <c r="U65" s="117"/>
      <c r="V65" s="117"/>
      <c r="W65" s="78"/>
    </row>
    <row r="66" spans="12:23">
      <c r="L66" s="78"/>
      <c r="M66" s="78"/>
      <c r="N66" s="78"/>
      <c r="O66" s="78"/>
      <c r="P66" s="78" t="s">
        <v>378</v>
      </c>
      <c r="Q66" s="78"/>
      <c r="R66" s="78"/>
      <c r="S66" s="78"/>
      <c r="T66" s="78"/>
      <c r="U66" s="78"/>
      <c r="V66" s="78"/>
      <c r="W66" s="78"/>
    </row>
    <row r="67" spans="12:23">
      <c r="L67" s="78"/>
      <c r="M67" s="78"/>
      <c r="N67" s="78"/>
      <c r="O67" s="78"/>
      <c r="P67" s="78"/>
      <c r="Q67" s="78"/>
      <c r="R67" s="78"/>
      <c r="S67" s="78"/>
      <c r="T67" s="78"/>
      <c r="U67" s="78"/>
      <c r="V67" s="78"/>
      <c r="W67" s="78"/>
    </row>
  </sheetData>
  <sheetProtection password="DD4C" sheet="1" objects="1" scenarios="1" selectLockedCells="1"/>
  <mergeCells count="168">
    <mergeCell ref="M2:U2"/>
    <mergeCell ref="D6:G6"/>
    <mergeCell ref="O7:R7"/>
    <mergeCell ref="S7:T7"/>
    <mergeCell ref="M12:O12"/>
    <mergeCell ref="O13:P13"/>
    <mergeCell ref="Q13:S13"/>
    <mergeCell ref="O14:P14"/>
    <mergeCell ref="Q14:S14"/>
    <mergeCell ref="O15:P15"/>
    <mergeCell ref="Q15:S15"/>
    <mergeCell ref="O16:P16"/>
    <mergeCell ref="Q16:S16"/>
    <mergeCell ref="N19:P19"/>
    <mergeCell ref="N20:P20"/>
    <mergeCell ref="N21:P21"/>
    <mergeCell ref="N22:P22"/>
    <mergeCell ref="N23:P23"/>
    <mergeCell ref="N24:P24"/>
    <mergeCell ref="O25:P25"/>
    <mergeCell ref="O26:P26"/>
    <mergeCell ref="O27:P27"/>
    <mergeCell ref="N28:P28"/>
    <mergeCell ref="N29:P29"/>
    <mergeCell ref="N30:P30"/>
    <mergeCell ref="N31:P31"/>
    <mergeCell ref="N32:P32"/>
    <mergeCell ref="M35:O35"/>
    <mergeCell ref="N37:O37"/>
    <mergeCell ref="P37:Q37"/>
    <mergeCell ref="R37:T37"/>
    <mergeCell ref="P38:Q38"/>
    <mergeCell ref="R38:S38"/>
    <mergeCell ref="P39:Q39"/>
    <mergeCell ref="R39:S39"/>
    <mergeCell ref="P40:Q40"/>
    <mergeCell ref="R40:S40"/>
    <mergeCell ref="P41:Q41"/>
    <mergeCell ref="R41:S41"/>
    <mergeCell ref="P42:Q42"/>
    <mergeCell ref="R42:S42"/>
    <mergeCell ref="P43:Q43"/>
    <mergeCell ref="R43:S43"/>
    <mergeCell ref="P44:Q44"/>
    <mergeCell ref="R44:S44"/>
    <mergeCell ref="P45:Q45"/>
    <mergeCell ref="R45:S45"/>
    <mergeCell ref="P46:Q46"/>
    <mergeCell ref="R46:S46"/>
    <mergeCell ref="P47:Q47"/>
    <mergeCell ref="R47:S47"/>
    <mergeCell ref="P48:Q48"/>
    <mergeCell ref="R48:S48"/>
    <mergeCell ref="P49:Q49"/>
    <mergeCell ref="R49:S49"/>
    <mergeCell ref="P50:Q50"/>
    <mergeCell ref="R50:S50"/>
    <mergeCell ref="P51:Q51"/>
    <mergeCell ref="R51:S51"/>
    <mergeCell ref="P52:Q52"/>
    <mergeCell ref="R52:S52"/>
    <mergeCell ref="P53:Q53"/>
    <mergeCell ref="R53:S53"/>
    <mergeCell ref="P54:Q54"/>
    <mergeCell ref="R54:S54"/>
    <mergeCell ref="N59:O59"/>
    <mergeCell ref="P59:V59"/>
    <mergeCell ref="B1:C2"/>
    <mergeCell ref="D1:J2"/>
    <mergeCell ref="C3:J4"/>
    <mergeCell ref="P3:U4"/>
    <mergeCell ref="N4:O6"/>
    <mergeCell ref="P5:S6"/>
    <mergeCell ref="T5:T6"/>
    <mergeCell ref="B6:B7"/>
    <mergeCell ref="C6:C7"/>
    <mergeCell ref="H6:H7"/>
    <mergeCell ref="J6:J7"/>
    <mergeCell ref="B8:B9"/>
    <mergeCell ref="D8:D9"/>
    <mergeCell ref="E8:E9"/>
    <mergeCell ref="F8:F9"/>
    <mergeCell ref="G8:G9"/>
    <mergeCell ref="H8:H9"/>
    <mergeCell ref="I8:I9"/>
    <mergeCell ref="J8:J9"/>
    <mergeCell ref="N8:N9"/>
    <mergeCell ref="O8:R9"/>
    <mergeCell ref="S8:T9"/>
    <mergeCell ref="U8:U9"/>
    <mergeCell ref="B10:B11"/>
    <mergeCell ref="D10:D11"/>
    <mergeCell ref="E10:E11"/>
    <mergeCell ref="F10:F11"/>
    <mergeCell ref="G10:G11"/>
    <mergeCell ref="H10:H11"/>
    <mergeCell ref="I10:I11"/>
    <mergeCell ref="J10:J11"/>
    <mergeCell ref="B12:B13"/>
    <mergeCell ref="D12:D13"/>
    <mergeCell ref="E12:E13"/>
    <mergeCell ref="F12:F13"/>
    <mergeCell ref="G12:G13"/>
    <mergeCell ref="H12:H13"/>
    <mergeCell ref="I12:I13"/>
    <mergeCell ref="J12:J13"/>
    <mergeCell ref="B14:B15"/>
    <mergeCell ref="D14:D15"/>
    <mergeCell ref="E14:E15"/>
    <mergeCell ref="F14:F15"/>
    <mergeCell ref="G14:G15"/>
    <mergeCell ref="H14:H15"/>
    <mergeCell ref="I14:I15"/>
    <mergeCell ref="J14:J15"/>
    <mergeCell ref="B16:B17"/>
    <mergeCell ref="D16:D17"/>
    <mergeCell ref="E16:E17"/>
    <mergeCell ref="F16:F17"/>
    <mergeCell ref="G16:G17"/>
    <mergeCell ref="H16:H17"/>
    <mergeCell ref="I16:I17"/>
    <mergeCell ref="J16:J17"/>
    <mergeCell ref="B18:B19"/>
    <mergeCell ref="D18:D19"/>
    <mergeCell ref="E18:E19"/>
    <mergeCell ref="F18:F19"/>
    <mergeCell ref="G18:G19"/>
    <mergeCell ref="H18:H19"/>
    <mergeCell ref="I18:I19"/>
    <mergeCell ref="J18:J19"/>
    <mergeCell ref="B20:B21"/>
    <mergeCell ref="D20:D21"/>
    <mergeCell ref="E20:E21"/>
    <mergeCell ref="F20:F21"/>
    <mergeCell ref="G20:G21"/>
    <mergeCell ref="H20:H21"/>
    <mergeCell ref="I20:I21"/>
    <mergeCell ref="J20:J21"/>
    <mergeCell ref="B22:B23"/>
    <mergeCell ref="D22:D23"/>
    <mergeCell ref="E22:E23"/>
    <mergeCell ref="F22:F23"/>
    <mergeCell ref="G22:G23"/>
    <mergeCell ref="H22:H23"/>
    <mergeCell ref="I22:I23"/>
    <mergeCell ref="J22:J23"/>
    <mergeCell ref="B24:B25"/>
    <mergeCell ref="C24:G25"/>
    <mergeCell ref="H24:H25"/>
    <mergeCell ref="I24:I25"/>
    <mergeCell ref="J24:J25"/>
    <mergeCell ref="N25:N27"/>
    <mergeCell ref="B27:C28"/>
    <mergeCell ref="B29:J34"/>
    <mergeCell ref="N38:O41"/>
    <mergeCell ref="U38:U41"/>
    <mergeCell ref="N42:O45"/>
    <mergeCell ref="U42:U45"/>
    <mergeCell ref="N46:O49"/>
    <mergeCell ref="U46:U49"/>
    <mergeCell ref="N50:O54"/>
    <mergeCell ref="U50:U54"/>
    <mergeCell ref="N60:O61"/>
    <mergeCell ref="P60:V61"/>
    <mergeCell ref="N62:O63"/>
    <mergeCell ref="P62:V63"/>
    <mergeCell ref="N64:O65"/>
    <mergeCell ref="P64:V65"/>
  </mergeCells>
  <phoneticPr fontId="20" type="Hiragana"/>
  <dataValidations count="3">
    <dataValidation allowBlank="0" showDropDown="0" showInputMessage="1" showErrorMessage="1" sqref="B22 B20 B18 B16 B14 B12 B10 B8"/>
    <dataValidation type="list" allowBlank="1" showDropDown="0" showInputMessage="1" showErrorMessage="1" sqref="D10 D14 D18 D22 D20 D16 D12 D8">
      <formula1>"昭和,平成,令和"</formula1>
    </dataValidation>
    <dataValidation type="list" allowBlank="1" showDropDown="0" showInputMessage="1" showErrorMessage="1" sqref="J8:J25">
      <formula1>"○"</formula1>
    </dataValidation>
  </dataValidations>
  <pageMargins left="0.78740157480314954" right="0.78740157480314954" top="0.98425196850393704" bottom="0.98425196850393704" header="0.51181102362204722" footer="0.51181102362204722"/>
  <pageSetup paperSize="9" scale="63" fitToWidth="1" fitToHeight="1" orientation="landscape" usePrinterDefaults="1" r:id="rId1"/>
  <extLst>
    <ext xmlns:x14="http://schemas.microsoft.com/office/spreadsheetml/2009/9/main" uri="{78C0D931-6437-407d-A8EE-F0AAD7539E65}">
      <x14:conditionalFormattings>
        <x14:conditionalFormatting xmlns:xm="http://schemas.microsoft.com/office/excel/2006/main">
          <x14:cfRule type="expression" priority="1" id="{01FC656F-4DC4-42B1-8DF5-82B4F23846DF}">
            <xm:f>'【編集者】入力・計算用シート'!$I$97=0</xm:f>
            <x14:dxf>
              <fill>
                <patternFill patternType="solid">
                  <bgColor theme="0"/>
                </patternFill>
              </fill>
            </x14:dxf>
          </x14:cfRule>
          <xm:sqref>D8:J23 H24:J25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6">
    <tabColor rgb="FFFFFF00"/>
    <pageSetUpPr fitToPage="1"/>
  </sheetPr>
  <dimension ref="B2:IW32"/>
  <sheetViews>
    <sheetView showGridLines="0" view="pageBreakPreview" zoomScaleSheetLayoutView="100" workbookViewId="0">
      <selection activeCell="C18" sqref="C18"/>
    </sheetView>
  </sheetViews>
  <sheetFormatPr defaultRowHeight="13.5"/>
  <cols>
    <col min="1" max="1" width="5.33203125" customWidth="1"/>
    <col min="2" max="257" width="9.06640625" style="144" customWidth="1"/>
  </cols>
  <sheetData>
    <row r="2" spans="2:13" ht="19.5">
      <c r="B2" s="145" t="s">
        <v>366</v>
      </c>
      <c r="C2" s="145"/>
      <c r="D2" s="145"/>
      <c r="E2" s="145"/>
      <c r="F2" s="145"/>
    </row>
    <row r="3" spans="2:13" ht="20.25" customHeight="1"/>
    <row r="4" spans="2:13">
      <c r="B4" s="144" t="s">
        <v>369</v>
      </c>
    </row>
    <row r="6" spans="2:13" ht="25.15" customHeight="1">
      <c r="B6" s="146" t="s">
        <v>377</v>
      </c>
      <c r="C6" s="146"/>
      <c r="D6" s="146"/>
      <c r="E6" s="146"/>
      <c r="F6" s="146"/>
      <c r="G6" s="146"/>
      <c r="H6" s="146"/>
      <c r="I6" s="146"/>
      <c r="J6" s="146"/>
      <c r="K6" s="146"/>
    </row>
    <row r="8" spans="2:13">
      <c r="B8" s="147" t="s">
        <v>367</v>
      </c>
    </row>
    <row r="9" spans="2:13">
      <c r="B9" s="144" t="s">
        <v>129</v>
      </c>
    </row>
    <row r="11" spans="2:13">
      <c r="B11" s="147" t="s">
        <v>339</v>
      </c>
    </row>
    <row r="12" spans="2:13">
      <c r="B12" s="144" t="s">
        <v>379</v>
      </c>
    </row>
    <row r="13" spans="2:13">
      <c r="B13" s="148" t="s">
        <v>370</v>
      </c>
      <c r="C13" s="148"/>
      <c r="D13" s="148"/>
      <c r="E13" s="148"/>
      <c r="F13" s="148"/>
      <c r="G13" s="148"/>
      <c r="H13" s="148"/>
      <c r="I13" s="148"/>
      <c r="J13" s="148"/>
      <c r="K13" s="148"/>
      <c r="L13" s="148"/>
      <c r="M13" s="148"/>
    </row>
    <row r="14" spans="2:13">
      <c r="B14" s="148" t="s">
        <v>353</v>
      </c>
      <c r="C14" s="148"/>
      <c r="D14" s="148"/>
      <c r="E14" s="148"/>
      <c r="F14" s="148"/>
      <c r="G14" s="148"/>
      <c r="H14" s="148"/>
      <c r="I14" s="148"/>
      <c r="J14" s="148"/>
      <c r="K14" s="148"/>
      <c r="L14" s="148"/>
      <c r="M14" s="148"/>
    </row>
    <row r="15" spans="2:13">
      <c r="B15" s="148" t="s">
        <v>133</v>
      </c>
      <c r="C15" s="148"/>
      <c r="D15" s="148"/>
      <c r="E15" s="148"/>
      <c r="F15" s="148"/>
      <c r="G15" s="148"/>
      <c r="H15" s="148"/>
      <c r="I15" s="148"/>
      <c r="J15" s="148"/>
      <c r="K15" s="148"/>
      <c r="L15" s="148"/>
      <c r="M15" s="148"/>
    </row>
    <row r="16" spans="2:13">
      <c r="B16" s="148" t="s">
        <v>307</v>
      </c>
      <c r="C16" s="148"/>
      <c r="D16" s="148"/>
      <c r="E16" s="148"/>
      <c r="F16" s="148"/>
      <c r="G16" s="148"/>
      <c r="H16" s="148"/>
      <c r="I16" s="148"/>
      <c r="J16" s="148"/>
      <c r="K16" s="148"/>
      <c r="L16" s="148"/>
      <c r="M16" s="148"/>
    </row>
    <row r="17" spans="2:13">
      <c r="B17" s="149" t="s">
        <v>371</v>
      </c>
      <c r="C17" s="149"/>
      <c r="D17" s="149"/>
      <c r="E17" s="149"/>
      <c r="F17" s="149"/>
      <c r="G17" s="149"/>
      <c r="H17" s="149"/>
      <c r="I17" s="149"/>
      <c r="J17" s="149"/>
      <c r="K17" s="149"/>
      <c r="L17" s="149"/>
      <c r="M17" s="149"/>
    </row>
    <row r="18" spans="2:13">
      <c r="B18" s="149" t="s">
        <v>365</v>
      </c>
      <c r="C18" s="149"/>
      <c r="D18" s="149"/>
      <c r="E18" s="149"/>
      <c r="F18" s="149"/>
      <c r="G18" s="149"/>
      <c r="H18" s="149"/>
      <c r="I18" s="149"/>
      <c r="J18" s="149"/>
      <c r="K18" s="149"/>
      <c r="L18" s="149"/>
      <c r="M18" s="149"/>
    </row>
    <row r="19" spans="2:13">
      <c r="B19" s="149" t="s">
        <v>95</v>
      </c>
      <c r="C19" s="149"/>
      <c r="D19" s="149"/>
      <c r="E19" s="149"/>
      <c r="F19" s="149"/>
      <c r="G19" s="149"/>
      <c r="H19" s="149"/>
      <c r="I19" s="149"/>
      <c r="J19" s="149"/>
      <c r="K19" s="149"/>
      <c r="L19" s="149"/>
      <c r="M19" s="149"/>
    </row>
    <row r="20" spans="2:13">
      <c r="B20" s="149"/>
      <c r="C20" s="149"/>
      <c r="D20" s="149"/>
      <c r="E20" s="149"/>
      <c r="F20" s="149"/>
      <c r="G20" s="149"/>
      <c r="H20" s="149"/>
      <c r="I20" s="149"/>
      <c r="J20" s="149"/>
      <c r="K20" s="149"/>
      <c r="L20" s="149"/>
      <c r="M20" s="149"/>
    </row>
    <row r="21" spans="2:13">
      <c r="B21" s="149" t="s">
        <v>372</v>
      </c>
      <c r="C21" s="149"/>
      <c r="D21" s="149"/>
      <c r="E21" s="149"/>
      <c r="F21" s="149"/>
      <c r="G21" s="149"/>
      <c r="H21" s="149"/>
      <c r="I21" s="149"/>
      <c r="J21" s="149"/>
      <c r="K21" s="149"/>
      <c r="L21" s="149"/>
      <c r="M21" s="149"/>
    </row>
    <row r="22" spans="2:13">
      <c r="B22" s="149" t="s">
        <v>224</v>
      </c>
      <c r="C22" s="149"/>
      <c r="D22" s="149"/>
      <c r="E22" s="149"/>
      <c r="F22" s="149"/>
      <c r="G22" s="149"/>
      <c r="H22" s="149"/>
      <c r="I22" s="149"/>
      <c r="J22" s="149"/>
      <c r="K22" s="149"/>
      <c r="L22" s="149"/>
      <c r="M22" s="149"/>
    </row>
    <row r="24" spans="2:13">
      <c r="B24" s="147" t="s">
        <v>368</v>
      </c>
    </row>
    <row r="25" spans="2:13">
      <c r="B25" s="144" t="s">
        <v>373</v>
      </c>
    </row>
    <row r="27" spans="2:13">
      <c r="B27" s="144" t="s">
        <v>178</v>
      </c>
    </row>
    <row r="28" spans="2:13">
      <c r="B28" s="144" t="s">
        <v>144</v>
      </c>
    </row>
    <row r="30" spans="2:13">
      <c r="B30" s="147" t="s">
        <v>287</v>
      </c>
    </row>
    <row r="31" spans="2:13">
      <c r="B31" s="144" t="s">
        <v>317</v>
      </c>
    </row>
    <row r="32" spans="2:13">
      <c r="B32" s="144" t="s">
        <v>375</v>
      </c>
    </row>
  </sheetData>
  <sheetProtection password="DD4C" sheet="1" objects="1" scenarios="1" selectLockedCells="1"/>
  <mergeCells count="2">
    <mergeCell ref="B2:F2"/>
    <mergeCell ref="B6:K6"/>
  </mergeCells>
  <phoneticPr fontId="20" type="Hiragana"/>
  <pageMargins left="0.7" right="0.7" top="0.75" bottom="0.75" header="0.3" footer="0.3"/>
  <pageSetup paperSize="9" scale="72"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
    <tabColor theme="7" tint="0.8"/>
    <pageSetUpPr fitToPage="1"/>
  </sheetPr>
  <dimension ref="B1:Z33"/>
  <sheetViews>
    <sheetView workbookViewId="0">
      <selection activeCell="M310" sqref="M310"/>
    </sheetView>
  </sheetViews>
  <sheetFormatPr defaultRowHeight="10.5"/>
  <cols>
    <col min="1" max="1" width="1.53125" style="1" customWidth="1"/>
    <col min="2" max="2" width="3.6640625" style="1" customWidth="1"/>
    <col min="3" max="3" width="9.19921875" style="1" customWidth="1"/>
    <col min="4" max="4" width="4.59765625" style="1" customWidth="1"/>
    <col min="5" max="7" width="3" style="1" customWidth="1"/>
    <col min="8" max="8" width="13" style="1" customWidth="1"/>
    <col min="9" max="10" width="5.59765625" style="1" bestFit="1" customWidth="1"/>
    <col min="11" max="11" width="7.19921875" style="1" customWidth="1"/>
    <col min="12" max="24" width="3.796875" style="1" customWidth="1"/>
    <col min="25" max="25" width="9.06640625" style="1" customWidth="1"/>
    <col min="26" max="26" width="1.53125" style="1" customWidth="1"/>
    <col min="27" max="27" width="1.3984375" style="1" customWidth="1"/>
    <col min="28" max="28" width="2.59765625" style="1" bestFit="1" customWidth="1"/>
    <col min="29" max="29" width="4.1328125" style="1" customWidth="1"/>
    <col min="30" max="30" width="4.86328125" style="1" customWidth="1"/>
    <col min="31" max="31" width="3.3984375" style="1" customWidth="1"/>
    <col min="32" max="32" width="5.53125" style="1" customWidth="1"/>
    <col min="33" max="37" width="8.19921875" style="1" customWidth="1"/>
    <col min="38" max="38" width="3.46484375" style="1" customWidth="1"/>
    <col min="39" max="39" width="4.265625" style="1" customWidth="1"/>
    <col min="40" max="16384" width="9.06640625" style="1" customWidth="1"/>
  </cols>
  <sheetData>
    <row r="1" spans="2:25">
      <c r="C1" s="3" t="str">
        <f>'【編集者】入力・計算用シート'!H32</f>
        <v>令和8</v>
      </c>
      <c r="D1" s="3"/>
      <c r="E1" s="3"/>
      <c r="F1" s="3"/>
      <c r="G1" s="3"/>
      <c r="H1" s="29" t="s">
        <v>293</v>
      </c>
      <c r="I1" s="29"/>
      <c r="J1" s="29"/>
      <c r="K1" s="29"/>
      <c r="L1" s="29"/>
      <c r="M1" s="29"/>
      <c r="N1" s="29"/>
      <c r="O1" s="29"/>
      <c r="P1" s="29"/>
      <c r="Q1" s="29"/>
      <c r="R1" s="29"/>
      <c r="S1" s="29"/>
      <c r="T1" s="29"/>
      <c r="U1" s="29"/>
      <c r="V1" s="29"/>
      <c r="W1" s="29"/>
      <c r="X1" s="29"/>
    </row>
    <row r="2" spans="2:25" ht="16.899999999999999">
      <c r="B2" s="150"/>
      <c r="C2" s="155"/>
      <c r="D2" s="155"/>
      <c r="E2" s="155"/>
      <c r="F2" s="155"/>
      <c r="G2" s="155"/>
      <c r="H2" s="30"/>
      <c r="I2" s="30"/>
      <c r="J2" s="30"/>
      <c r="K2" s="30"/>
      <c r="L2" s="30"/>
      <c r="M2" s="30"/>
      <c r="N2" s="30"/>
      <c r="O2" s="30"/>
      <c r="P2" s="30"/>
      <c r="Q2" s="30"/>
      <c r="R2" s="30"/>
      <c r="S2" s="30"/>
      <c r="T2" s="30"/>
      <c r="U2" s="30"/>
      <c r="V2" s="30"/>
      <c r="W2" s="30"/>
      <c r="X2" s="30"/>
      <c r="Y2" s="188"/>
    </row>
    <row r="3" spans="2:25" ht="16.899999999999999">
      <c r="B3" s="151"/>
      <c r="C3" s="151"/>
      <c r="D3" s="159"/>
      <c r="E3" s="159"/>
      <c r="F3" s="159"/>
      <c r="G3" s="159"/>
      <c r="H3" s="159"/>
      <c r="I3" s="159"/>
    </row>
    <row r="4" spans="2:25" ht="13.5" customHeight="1">
      <c r="D4" s="160" t="s">
        <v>142</v>
      </c>
      <c r="K4" s="180"/>
      <c r="L4" s="180"/>
      <c r="P4" s="187"/>
      <c r="Q4" s="187"/>
      <c r="R4" s="187"/>
      <c r="S4" s="187"/>
      <c r="T4" s="187"/>
      <c r="U4" s="187"/>
      <c r="V4" s="187"/>
      <c r="W4" s="187"/>
    </row>
    <row r="5" spans="2:25" ht="13.5" customHeight="1">
      <c r="B5" s="152" t="s">
        <v>301</v>
      </c>
      <c r="C5" s="152" t="s">
        <v>290</v>
      </c>
      <c r="D5" s="161" t="s">
        <v>14</v>
      </c>
      <c r="E5" s="161"/>
      <c r="F5" s="161"/>
      <c r="G5" s="161"/>
      <c r="H5" s="156" t="s">
        <v>194</v>
      </c>
      <c r="I5" s="161" t="s">
        <v>244</v>
      </c>
      <c r="J5" s="161"/>
      <c r="K5" s="156" t="s">
        <v>123</v>
      </c>
      <c r="L5" s="156" t="s">
        <v>40</v>
      </c>
      <c r="M5" s="156" t="s">
        <v>19</v>
      </c>
      <c r="N5" s="156" t="s">
        <v>41</v>
      </c>
      <c r="O5" s="156" t="s">
        <v>42</v>
      </c>
      <c r="P5" s="156" t="s">
        <v>44</v>
      </c>
      <c r="Q5" s="156" t="s">
        <v>48</v>
      </c>
      <c r="R5" s="156" t="s">
        <v>35</v>
      </c>
      <c r="S5" s="156" t="s">
        <v>47</v>
      </c>
      <c r="T5" s="156" t="s">
        <v>50</v>
      </c>
      <c r="U5" s="152" t="s">
        <v>304</v>
      </c>
      <c r="V5" s="152" t="s">
        <v>305</v>
      </c>
      <c r="W5" s="152" t="s">
        <v>306</v>
      </c>
      <c r="X5" s="152" t="s">
        <v>329</v>
      </c>
      <c r="Y5" s="152" t="s">
        <v>303</v>
      </c>
    </row>
    <row r="6" spans="2:25">
      <c r="B6" s="152"/>
      <c r="C6" s="156"/>
      <c r="D6" s="162" t="s">
        <v>149</v>
      </c>
      <c r="E6" s="162" t="s">
        <v>145</v>
      </c>
      <c r="F6" s="162" t="s">
        <v>94</v>
      </c>
      <c r="G6" s="162" t="s">
        <v>148</v>
      </c>
      <c r="H6" s="156"/>
      <c r="I6" s="162" t="s">
        <v>302</v>
      </c>
      <c r="J6" s="162"/>
      <c r="K6" s="156"/>
      <c r="L6" s="156"/>
      <c r="M6" s="156"/>
      <c r="N6" s="156"/>
      <c r="O6" s="156"/>
      <c r="P6" s="156"/>
      <c r="Q6" s="156"/>
      <c r="R6" s="156"/>
      <c r="S6" s="156"/>
      <c r="T6" s="156"/>
      <c r="U6" s="152"/>
      <c r="V6" s="156"/>
      <c r="W6" s="156"/>
      <c r="X6" s="152"/>
      <c r="Y6" s="156"/>
    </row>
    <row r="7" spans="2:25">
      <c r="B7" s="153" t="str">
        <f>IF(SUM('【編集者】入力・計算用シート'!C80:F81)=4,"○","")</f>
        <v/>
      </c>
      <c r="C7" s="157" t="s">
        <v>81</v>
      </c>
      <c r="D7" s="47">
        <f>簡易試算シート!D8</f>
        <v>0</v>
      </c>
      <c r="E7" s="47">
        <f>簡易試算シート!E8</f>
        <v>0</v>
      </c>
      <c r="F7" s="47">
        <f>簡易試算シート!F8</f>
        <v>0</v>
      </c>
      <c r="G7" s="47">
        <f>簡易試算シート!G8</f>
        <v>0</v>
      </c>
      <c r="H7" s="47">
        <f>簡易試算シート!H8</f>
        <v>0</v>
      </c>
      <c r="I7" s="177" t="str">
        <f>IF(SUM('【編集者】入力・計算用シート'!C80:F81)=4,"４月","")</f>
        <v/>
      </c>
      <c r="J7" s="177"/>
      <c r="K7" s="181" t="s">
        <v>214</v>
      </c>
      <c r="L7" s="185" t="str">
        <f>IF('【編集者】入力・計算用シート'!C127&gt;0,"●","")</f>
        <v/>
      </c>
      <c r="M7" s="185" t="str">
        <f>IF('【編集者】入力・計算用シート'!D127&gt;0,"●","")</f>
        <v/>
      </c>
      <c r="N7" s="185" t="str">
        <f>IF('【編集者】入力・計算用シート'!E127&gt;0,"●","")</f>
        <v/>
      </c>
      <c r="O7" s="185" t="str">
        <f>IF('【編集者】入力・計算用シート'!F127&gt;0,"●","")</f>
        <v/>
      </c>
      <c r="P7" s="185" t="str">
        <f>IF('【編集者】入力・計算用シート'!G127&gt;0,"●","")</f>
        <v/>
      </c>
      <c r="Q7" s="185" t="str">
        <f>IF('【編集者】入力・計算用シート'!H127&gt;0,"●","")</f>
        <v/>
      </c>
      <c r="R7" s="185" t="str">
        <f>IF('【編集者】入力・計算用シート'!I127&gt;0,"●","")</f>
        <v/>
      </c>
      <c r="S7" s="185" t="str">
        <f>IF('【編集者】入力・計算用シート'!J127&gt;0,"●","")</f>
        <v/>
      </c>
      <c r="T7" s="185" t="str">
        <f>IF('【編集者】入力・計算用シート'!K127&gt;0,"●","")</f>
        <v/>
      </c>
      <c r="U7" s="185" t="str">
        <f>IF('【編集者】入力・計算用シート'!L127&gt;0,"●","")</f>
        <v/>
      </c>
      <c r="V7" s="185" t="str">
        <f>IF('【編集者】入力・計算用シート'!M127&gt;0,"●","")</f>
        <v/>
      </c>
      <c r="W7" s="185" t="str">
        <f>IF('【編集者】入力・計算用シート'!N127&gt;0,"●","")</f>
        <v/>
      </c>
      <c r="X7" s="92">
        <f t="shared" ref="X7:X24" si="0">COUNTIF(L7:W7,"●")</f>
        <v>0</v>
      </c>
      <c r="Y7" s="189">
        <f>'【編集者】入力・計算用シート'!C174</f>
        <v>0</v>
      </c>
    </row>
    <row r="8" spans="2:25">
      <c r="B8" s="153"/>
      <c r="C8" s="158" t="str">
        <f>"("&amp;IF(SUM('【編集者】入力・計算用シート'!C80:F81)=4,IF('【編集者】入力・計算用シート'!A129="未就学児",'【編集者】入力・計算用シート'!A129,'【編集者】入力・計算用シート'!A130),"　ー　")&amp;")"</f>
        <v>(　ー　)</v>
      </c>
      <c r="D8" s="47"/>
      <c r="E8" s="47"/>
      <c r="F8" s="47"/>
      <c r="G8" s="47"/>
      <c r="H8" s="47"/>
      <c r="I8" s="177" t="str">
        <f>IF('【編集者】入力・計算用シート'!N80=1,"４月","")</f>
        <v/>
      </c>
      <c r="J8" s="177"/>
      <c r="K8" s="182" t="s">
        <v>92</v>
      </c>
      <c r="L8" s="186" t="str">
        <f>IF('【編集者】入力・計算用シート'!C129&gt;0,"●","")</f>
        <v/>
      </c>
      <c r="M8" s="186" t="str">
        <f>IF('【編集者】入力・計算用シート'!D129&gt;0,"●","")</f>
        <v/>
      </c>
      <c r="N8" s="186" t="str">
        <f>IF('【編集者】入力・計算用シート'!E129&gt;0,"●","")</f>
        <v/>
      </c>
      <c r="O8" s="186" t="str">
        <f>IF('【編集者】入力・計算用シート'!F129&gt;0,"●","")</f>
        <v/>
      </c>
      <c r="P8" s="186" t="str">
        <f>IF('【編集者】入力・計算用シート'!G129&gt;0,"●","")</f>
        <v/>
      </c>
      <c r="Q8" s="186" t="str">
        <f>IF('【編集者】入力・計算用シート'!H129&gt;0,"●","")</f>
        <v/>
      </c>
      <c r="R8" s="186" t="str">
        <f>IF('【編集者】入力・計算用シート'!I129&gt;0,"●","")</f>
        <v/>
      </c>
      <c r="S8" s="186" t="str">
        <f>IF('【編集者】入力・計算用シート'!J129&gt;0,"●","")</f>
        <v/>
      </c>
      <c r="T8" s="186" t="str">
        <f>IF('【編集者】入力・計算用シート'!K129&gt;0,"●","")</f>
        <v/>
      </c>
      <c r="U8" s="186" t="str">
        <f>IF('【編集者】入力・計算用シート'!L129&gt;0,"●","")</f>
        <v/>
      </c>
      <c r="V8" s="186" t="str">
        <f>IF('【編集者】入力・計算用シート'!M129&gt;0,"●","")</f>
        <v/>
      </c>
      <c r="W8" s="186" t="str">
        <f>IF('【編集者】入力・計算用シート'!N129&gt;0,"●","")</f>
        <v/>
      </c>
      <c r="X8" s="92">
        <f t="shared" si="0"/>
        <v>0</v>
      </c>
      <c r="Y8" s="189"/>
    </row>
    <row r="9" spans="2:25">
      <c r="B9" s="153" t="str">
        <f>IF(SUM('【編集者】入力・計算用シート'!C82:F83)=4,"○","")</f>
        <v/>
      </c>
      <c r="C9" s="157" t="s">
        <v>82</v>
      </c>
      <c r="D9" s="47">
        <f>簡易試算シート!D10</f>
        <v>0</v>
      </c>
      <c r="E9" s="47">
        <f>簡易試算シート!E10</f>
        <v>0</v>
      </c>
      <c r="F9" s="47">
        <f>簡易試算シート!F10</f>
        <v>0</v>
      </c>
      <c r="G9" s="47">
        <f>簡易試算シート!G10</f>
        <v>0</v>
      </c>
      <c r="H9" s="47">
        <f>簡易試算シート!H10</f>
        <v>0</v>
      </c>
      <c r="I9" s="177" t="str">
        <f>IF(SUM('【編集者】入力・計算用シート'!C82:F83)=4,"４月","")</f>
        <v/>
      </c>
      <c r="J9" s="177"/>
      <c r="K9" s="181" t="s">
        <v>214</v>
      </c>
      <c r="L9" s="185" t="str">
        <f>IF('【編集者】入力・計算用シート'!C131&gt;0,"●","")</f>
        <v/>
      </c>
      <c r="M9" s="185" t="str">
        <f>IF('【編集者】入力・計算用シート'!D131&gt;0,"●","")</f>
        <v/>
      </c>
      <c r="N9" s="185" t="str">
        <f>IF('【編集者】入力・計算用シート'!E131&gt;0,"●","")</f>
        <v/>
      </c>
      <c r="O9" s="185" t="str">
        <f>IF('【編集者】入力・計算用シート'!F131&gt;0,"●","")</f>
        <v/>
      </c>
      <c r="P9" s="185" t="str">
        <f>IF('【編集者】入力・計算用シート'!G131&gt;0,"●","")</f>
        <v/>
      </c>
      <c r="Q9" s="185" t="str">
        <f>IF('【編集者】入力・計算用シート'!H131&gt;0,"●","")</f>
        <v/>
      </c>
      <c r="R9" s="185" t="str">
        <f>IF('【編集者】入力・計算用シート'!I131&gt;0,"●","")</f>
        <v/>
      </c>
      <c r="S9" s="185" t="str">
        <f>IF('【編集者】入力・計算用シート'!J131&gt;0,"●","")</f>
        <v/>
      </c>
      <c r="T9" s="185" t="str">
        <f>IF('【編集者】入力・計算用シート'!K131&gt;0,"●","")</f>
        <v/>
      </c>
      <c r="U9" s="185" t="str">
        <f>IF('【編集者】入力・計算用シート'!L131&gt;0,"●","")</f>
        <v/>
      </c>
      <c r="V9" s="185" t="str">
        <f>IF('【編集者】入力・計算用シート'!M131&gt;0,"●","")</f>
        <v/>
      </c>
      <c r="W9" s="185" t="str">
        <f>IF('【編集者】入力・計算用シート'!N131&gt;0,"●","")</f>
        <v/>
      </c>
      <c r="X9" s="92">
        <f t="shared" si="0"/>
        <v>0</v>
      </c>
      <c r="Y9" s="189">
        <f>'【編集者】入力・計算用シート'!C178</f>
        <v>0</v>
      </c>
    </row>
    <row r="10" spans="2:25">
      <c r="B10" s="153"/>
      <c r="C10" s="158" t="str">
        <f>"("&amp;IF(SUM('【編集者】入力・計算用シート'!C82:F83)=4,IF('【編集者】入力・計算用シート'!A133="未就学児",'【編集者】入力・計算用シート'!A133,'【編集者】入力・計算用シート'!A134),"　ー　")&amp;")"</f>
        <v>(　ー　)</v>
      </c>
      <c r="D10" s="47"/>
      <c r="E10" s="47"/>
      <c r="F10" s="47"/>
      <c r="G10" s="47"/>
      <c r="H10" s="47"/>
      <c r="I10" s="177" t="str">
        <f>IF('【編集者】入力・計算用シート'!N82=1,"４月","")</f>
        <v/>
      </c>
      <c r="J10" s="177"/>
      <c r="K10" s="182" t="s">
        <v>92</v>
      </c>
      <c r="L10" s="186" t="str">
        <f>IF('【編集者】入力・計算用シート'!C133&gt;0,"●","")</f>
        <v/>
      </c>
      <c r="M10" s="186" t="str">
        <f>IF('【編集者】入力・計算用シート'!D133&gt;0,"●","")</f>
        <v/>
      </c>
      <c r="N10" s="186" t="str">
        <f>IF('【編集者】入力・計算用シート'!E133&gt;0,"●","")</f>
        <v/>
      </c>
      <c r="O10" s="186" t="str">
        <f>IF('【編集者】入力・計算用シート'!F133&gt;0,"●","")</f>
        <v/>
      </c>
      <c r="P10" s="186" t="str">
        <f>IF('【編集者】入力・計算用シート'!G133&gt;0,"●","")</f>
        <v/>
      </c>
      <c r="Q10" s="186" t="str">
        <f>IF('【編集者】入力・計算用シート'!H133&gt;0,"●","")</f>
        <v/>
      </c>
      <c r="R10" s="186" t="str">
        <f>IF('【編集者】入力・計算用シート'!I133&gt;0,"●","")</f>
        <v/>
      </c>
      <c r="S10" s="186" t="str">
        <f>IF('【編集者】入力・計算用シート'!J133&gt;0,"●","")</f>
        <v/>
      </c>
      <c r="T10" s="186" t="str">
        <f>IF('【編集者】入力・計算用シート'!K133&gt;0,"●","")</f>
        <v/>
      </c>
      <c r="U10" s="186" t="str">
        <f>IF('【編集者】入力・計算用シート'!L133&gt;0,"●","")</f>
        <v/>
      </c>
      <c r="V10" s="186" t="str">
        <f>IF('【編集者】入力・計算用シート'!M133&gt;0,"●","")</f>
        <v/>
      </c>
      <c r="W10" s="186" t="str">
        <f>IF('【編集者】入力・計算用シート'!N133&gt;0,"●","")</f>
        <v/>
      </c>
      <c r="X10" s="92">
        <f t="shared" si="0"/>
        <v>0</v>
      </c>
      <c r="Y10" s="189"/>
    </row>
    <row r="11" spans="2:25">
      <c r="B11" s="153" t="str">
        <f>IF(SUM('【編集者】入力・計算用シート'!C84:F85)=4,"○","")</f>
        <v/>
      </c>
      <c r="C11" s="154" t="s">
        <v>83</v>
      </c>
      <c r="D11" s="47">
        <f>簡易試算シート!D12</f>
        <v>0</v>
      </c>
      <c r="E11" s="47">
        <f>簡易試算シート!E12</f>
        <v>0</v>
      </c>
      <c r="F11" s="47">
        <f>簡易試算シート!F12</f>
        <v>0</v>
      </c>
      <c r="G11" s="47">
        <f>簡易試算シート!G12</f>
        <v>0</v>
      </c>
      <c r="H11" s="47">
        <f>簡易試算シート!H12</f>
        <v>0</v>
      </c>
      <c r="I11" s="177" t="str">
        <f>IF(SUM('【編集者】入力・計算用シート'!C84:F85)=4,"４月","")</f>
        <v/>
      </c>
      <c r="J11" s="177"/>
      <c r="K11" s="181" t="s">
        <v>214</v>
      </c>
      <c r="L11" s="185" t="str">
        <f>IF('【編集者】入力・計算用シート'!C135&gt;0,"●","")</f>
        <v/>
      </c>
      <c r="M11" s="185" t="str">
        <f>IF('【編集者】入力・計算用シート'!D135&gt;0,"●","")</f>
        <v/>
      </c>
      <c r="N11" s="185" t="str">
        <f>IF('【編集者】入力・計算用シート'!E135&gt;0,"●","")</f>
        <v/>
      </c>
      <c r="O11" s="185" t="str">
        <f>IF('【編集者】入力・計算用シート'!F135&gt;0,"●","")</f>
        <v/>
      </c>
      <c r="P11" s="185" t="str">
        <f>IF('【編集者】入力・計算用シート'!G135&gt;0,"●","")</f>
        <v/>
      </c>
      <c r="Q11" s="185" t="str">
        <f>IF('【編集者】入力・計算用シート'!H135&gt;0,"●","")</f>
        <v/>
      </c>
      <c r="R11" s="185" t="str">
        <f>IF('【編集者】入力・計算用シート'!I135&gt;0,"●","")</f>
        <v/>
      </c>
      <c r="S11" s="185" t="str">
        <f>IF('【編集者】入力・計算用シート'!J135&gt;0,"●","")</f>
        <v/>
      </c>
      <c r="T11" s="185" t="str">
        <f>IF('【編集者】入力・計算用シート'!K135&gt;0,"●","")</f>
        <v/>
      </c>
      <c r="U11" s="185" t="str">
        <f>IF('【編集者】入力・計算用シート'!L135&gt;0,"●","")</f>
        <v/>
      </c>
      <c r="V11" s="185" t="str">
        <f>IF('【編集者】入力・計算用シート'!M135&gt;0,"●","")</f>
        <v/>
      </c>
      <c r="W11" s="185" t="str">
        <f>IF('【編集者】入力・計算用シート'!N135&gt;0,"●","")</f>
        <v/>
      </c>
      <c r="X11" s="92">
        <f t="shared" si="0"/>
        <v>0</v>
      </c>
      <c r="Y11" s="189">
        <f>'【編集者】入力・計算用シート'!C182</f>
        <v>0</v>
      </c>
    </row>
    <row r="12" spans="2:25">
      <c r="B12" s="153"/>
      <c r="C12" s="158" t="str">
        <f>"("&amp;IF(SUM('【編集者】入力・計算用シート'!C84:F85)=4,IF('【編集者】入力・計算用シート'!A137="未就学児",'【編集者】入力・計算用シート'!A137,'【編集者】入力・計算用シート'!A138),"　ー　")&amp;")"</f>
        <v>(　ー　)</v>
      </c>
      <c r="D12" s="47"/>
      <c r="E12" s="47"/>
      <c r="F12" s="47"/>
      <c r="G12" s="47"/>
      <c r="H12" s="47"/>
      <c r="I12" s="177" t="str">
        <f>IF('【編集者】入力・計算用シート'!N84=1,"４月","")</f>
        <v/>
      </c>
      <c r="J12" s="177"/>
      <c r="K12" s="182" t="s">
        <v>92</v>
      </c>
      <c r="L12" s="186" t="str">
        <f>IF('【編集者】入力・計算用シート'!C137&gt;0,"●","")</f>
        <v/>
      </c>
      <c r="M12" s="186" t="str">
        <f>IF('【編集者】入力・計算用シート'!D137&gt;0,"●","")</f>
        <v/>
      </c>
      <c r="N12" s="186" t="str">
        <f>IF('【編集者】入力・計算用シート'!E137&gt;0,"●","")</f>
        <v/>
      </c>
      <c r="O12" s="186" t="str">
        <f>IF('【編集者】入力・計算用シート'!F137&gt;0,"●","")</f>
        <v/>
      </c>
      <c r="P12" s="186" t="str">
        <f>IF('【編集者】入力・計算用シート'!G137&gt;0,"●","")</f>
        <v/>
      </c>
      <c r="Q12" s="186" t="str">
        <f>IF('【編集者】入力・計算用シート'!H137&gt;0,"●","")</f>
        <v/>
      </c>
      <c r="R12" s="186" t="str">
        <f>IF('【編集者】入力・計算用シート'!I137&gt;0,"●","")</f>
        <v/>
      </c>
      <c r="S12" s="186" t="str">
        <f>IF('【編集者】入力・計算用シート'!J137&gt;0,"●","")</f>
        <v/>
      </c>
      <c r="T12" s="186" t="str">
        <f>IF('【編集者】入力・計算用シート'!K137&gt;0,"●","")</f>
        <v/>
      </c>
      <c r="U12" s="186" t="str">
        <f>IF('【編集者】入力・計算用シート'!L137&gt;0,"●","")</f>
        <v/>
      </c>
      <c r="V12" s="186" t="str">
        <f>IF('【編集者】入力・計算用シート'!M137&gt;0,"●","")</f>
        <v/>
      </c>
      <c r="W12" s="186" t="str">
        <f>IF('【編集者】入力・計算用シート'!N137&gt;0,"●","")</f>
        <v/>
      </c>
      <c r="X12" s="92">
        <f t="shared" si="0"/>
        <v>0</v>
      </c>
      <c r="Y12" s="189"/>
    </row>
    <row r="13" spans="2:25">
      <c r="B13" s="153" t="str">
        <f>IF(SUM('【編集者】入力・計算用シート'!C86:F87)=4,"○","")</f>
        <v/>
      </c>
      <c r="C13" s="157" t="s">
        <v>84</v>
      </c>
      <c r="D13" s="47">
        <f>簡易試算シート!D14</f>
        <v>0</v>
      </c>
      <c r="E13" s="47">
        <f>簡易試算シート!E14</f>
        <v>0</v>
      </c>
      <c r="F13" s="47">
        <f>簡易試算シート!F14</f>
        <v>0</v>
      </c>
      <c r="G13" s="47">
        <f>簡易試算シート!G14</f>
        <v>0</v>
      </c>
      <c r="H13" s="47">
        <f>簡易試算シート!H14</f>
        <v>0</v>
      </c>
      <c r="I13" s="177" t="str">
        <f>IF(SUM('【編集者】入力・計算用シート'!C86:F87)=4,"４月","")</f>
        <v/>
      </c>
      <c r="J13" s="177"/>
      <c r="K13" s="181" t="s">
        <v>214</v>
      </c>
      <c r="L13" s="185" t="str">
        <f>IF('【編集者】入力・計算用シート'!C139&gt;0,"●","")</f>
        <v/>
      </c>
      <c r="M13" s="185" t="str">
        <f>IF('【編集者】入力・計算用シート'!D139&gt;0,"●","")</f>
        <v/>
      </c>
      <c r="N13" s="185" t="str">
        <f>IF('【編集者】入力・計算用シート'!E139&gt;0,"●","")</f>
        <v/>
      </c>
      <c r="O13" s="185" t="str">
        <f>IF('【編集者】入力・計算用シート'!F139&gt;0,"●","")</f>
        <v/>
      </c>
      <c r="P13" s="185" t="str">
        <f>IF('【編集者】入力・計算用シート'!G139&gt;0,"●","")</f>
        <v/>
      </c>
      <c r="Q13" s="185" t="str">
        <f>IF('【編集者】入力・計算用シート'!H139&gt;0,"●","")</f>
        <v/>
      </c>
      <c r="R13" s="185" t="str">
        <f>IF('【編集者】入力・計算用シート'!I139&gt;0,"●","")</f>
        <v/>
      </c>
      <c r="S13" s="185" t="str">
        <f>IF('【編集者】入力・計算用シート'!J139&gt;0,"●","")</f>
        <v/>
      </c>
      <c r="T13" s="185" t="str">
        <f>IF('【編集者】入力・計算用シート'!K139&gt;0,"●","")</f>
        <v/>
      </c>
      <c r="U13" s="185" t="str">
        <f>IF('【編集者】入力・計算用シート'!L139&gt;0,"●","")</f>
        <v/>
      </c>
      <c r="V13" s="185" t="str">
        <f>IF('【編集者】入力・計算用シート'!M139&gt;0,"●","")</f>
        <v/>
      </c>
      <c r="W13" s="185" t="str">
        <f>IF('【編集者】入力・計算用シート'!N139&gt;0,"●","")</f>
        <v/>
      </c>
      <c r="X13" s="92">
        <f t="shared" si="0"/>
        <v>0</v>
      </c>
      <c r="Y13" s="189">
        <f>'【編集者】入力・計算用シート'!C186</f>
        <v>0</v>
      </c>
    </row>
    <row r="14" spans="2:25">
      <c r="B14" s="153"/>
      <c r="C14" s="158" t="str">
        <f>"("&amp;IF(SUM('【編集者】入力・計算用シート'!C86:F87)=4,IF('【編集者】入力・計算用シート'!A141="未就学児",'【編集者】入力・計算用シート'!A141,'【編集者】入力・計算用シート'!A142),"　ー　")&amp;")"</f>
        <v>(　ー　)</v>
      </c>
      <c r="D14" s="47"/>
      <c r="E14" s="47"/>
      <c r="F14" s="47"/>
      <c r="G14" s="47"/>
      <c r="H14" s="47"/>
      <c r="I14" s="177" t="str">
        <f>IF('【編集者】入力・計算用シート'!N86=1,"４月","")</f>
        <v/>
      </c>
      <c r="J14" s="177"/>
      <c r="K14" s="182" t="s">
        <v>92</v>
      </c>
      <c r="L14" s="186" t="str">
        <f>IF('【編集者】入力・計算用シート'!C141&gt;0,"●","")</f>
        <v/>
      </c>
      <c r="M14" s="186" t="str">
        <f>IF('【編集者】入力・計算用シート'!D141&gt;0,"●","")</f>
        <v/>
      </c>
      <c r="N14" s="186" t="str">
        <f>IF('【編集者】入力・計算用シート'!E141&gt;0,"●","")</f>
        <v/>
      </c>
      <c r="O14" s="186" t="str">
        <f>IF('【編集者】入力・計算用シート'!F141&gt;0,"●","")</f>
        <v/>
      </c>
      <c r="P14" s="186" t="str">
        <f>IF('【編集者】入力・計算用シート'!G141&gt;0,"●","")</f>
        <v/>
      </c>
      <c r="Q14" s="186" t="str">
        <f>IF('【編集者】入力・計算用シート'!H141&gt;0,"●","")</f>
        <v/>
      </c>
      <c r="R14" s="186" t="str">
        <f>IF('【編集者】入力・計算用シート'!I141&gt;0,"●","")</f>
        <v/>
      </c>
      <c r="S14" s="186" t="str">
        <f>IF('【編集者】入力・計算用シート'!J141&gt;0,"●","")</f>
        <v/>
      </c>
      <c r="T14" s="186" t="str">
        <f>IF('【編集者】入力・計算用シート'!K141&gt;0,"●","")</f>
        <v/>
      </c>
      <c r="U14" s="186" t="str">
        <f>IF('【編集者】入力・計算用シート'!L141&gt;0,"●","")</f>
        <v/>
      </c>
      <c r="V14" s="186" t="str">
        <f>IF('【編集者】入力・計算用シート'!M141&gt;0,"●","")</f>
        <v/>
      </c>
      <c r="W14" s="186" t="str">
        <f>IF('【編集者】入力・計算用シート'!N141&gt;0,"●","")</f>
        <v/>
      </c>
      <c r="X14" s="92">
        <f t="shared" si="0"/>
        <v>0</v>
      </c>
      <c r="Y14" s="189"/>
    </row>
    <row r="15" spans="2:25">
      <c r="B15" s="153" t="str">
        <f>IF(SUM('【編集者】入力・計算用シート'!C88:F89)=4,"○","")</f>
        <v/>
      </c>
      <c r="C15" s="154" t="s">
        <v>86</v>
      </c>
      <c r="D15" s="47">
        <f>簡易試算シート!D16</f>
        <v>0</v>
      </c>
      <c r="E15" s="47">
        <f>簡易試算シート!E16</f>
        <v>0</v>
      </c>
      <c r="F15" s="47">
        <f>簡易試算シート!F16</f>
        <v>0</v>
      </c>
      <c r="G15" s="47">
        <f>簡易試算シート!G16</f>
        <v>0</v>
      </c>
      <c r="H15" s="47">
        <f>簡易試算シート!H16</f>
        <v>0</v>
      </c>
      <c r="I15" s="177" t="str">
        <f>IF(SUM('【編集者】入力・計算用シート'!C88:F89)=4,"４月","")</f>
        <v/>
      </c>
      <c r="J15" s="177"/>
      <c r="K15" s="181" t="s">
        <v>214</v>
      </c>
      <c r="L15" s="185" t="str">
        <f>IF('【編集者】入力・計算用シート'!C143&gt;0,"●","")</f>
        <v/>
      </c>
      <c r="M15" s="185" t="str">
        <f>IF('【編集者】入力・計算用シート'!D143&gt;0,"●","")</f>
        <v/>
      </c>
      <c r="N15" s="185" t="str">
        <f>IF('【編集者】入力・計算用シート'!E143&gt;0,"●","")</f>
        <v/>
      </c>
      <c r="O15" s="185" t="str">
        <f>IF('【編集者】入力・計算用シート'!F143&gt;0,"●","")</f>
        <v/>
      </c>
      <c r="P15" s="185" t="str">
        <f>IF('【編集者】入力・計算用シート'!G143&gt;0,"●","")</f>
        <v/>
      </c>
      <c r="Q15" s="185" t="str">
        <f>IF('【編集者】入力・計算用シート'!H143&gt;0,"●","")</f>
        <v/>
      </c>
      <c r="R15" s="185" t="str">
        <f>IF('【編集者】入力・計算用シート'!I143&gt;0,"●","")</f>
        <v/>
      </c>
      <c r="S15" s="185" t="str">
        <f>IF('【編集者】入力・計算用シート'!J143&gt;0,"●","")</f>
        <v/>
      </c>
      <c r="T15" s="185" t="str">
        <f>IF('【編集者】入力・計算用シート'!K143&gt;0,"●","")</f>
        <v/>
      </c>
      <c r="U15" s="185" t="str">
        <f>IF('【編集者】入力・計算用シート'!L143&gt;0,"●","")</f>
        <v/>
      </c>
      <c r="V15" s="185" t="str">
        <f>IF('【編集者】入力・計算用シート'!M143&gt;0,"●","")</f>
        <v/>
      </c>
      <c r="W15" s="185" t="str">
        <f>IF('【編集者】入力・計算用シート'!N143&gt;0,"●","")</f>
        <v/>
      </c>
      <c r="X15" s="92">
        <f t="shared" si="0"/>
        <v>0</v>
      </c>
      <c r="Y15" s="189">
        <f>'【編集者】入力・計算用シート'!C190</f>
        <v>0</v>
      </c>
    </row>
    <row r="16" spans="2:25">
      <c r="B16" s="153"/>
      <c r="C16" s="158" t="str">
        <f>"("&amp;IF(SUM('【編集者】入力・計算用シート'!C88:F89)=4,IF('【編集者】入力・計算用シート'!A145="未就学児",'【編集者】入力・計算用シート'!A145,'【編集者】入力・計算用シート'!A146),"　ー　")&amp;")"</f>
        <v>(　ー　)</v>
      </c>
      <c r="D16" s="47"/>
      <c r="E16" s="47"/>
      <c r="F16" s="47"/>
      <c r="G16" s="47"/>
      <c r="H16" s="47"/>
      <c r="I16" s="177" t="str">
        <f>IF('【編集者】入力・計算用シート'!N88=1,"４月","")</f>
        <v/>
      </c>
      <c r="J16" s="177"/>
      <c r="K16" s="182" t="s">
        <v>92</v>
      </c>
      <c r="L16" s="186" t="str">
        <f>IF('【編集者】入力・計算用シート'!C145&gt;0,"●","")</f>
        <v/>
      </c>
      <c r="M16" s="186" t="str">
        <f>IF('【編集者】入力・計算用シート'!D145&gt;0,"●","")</f>
        <v/>
      </c>
      <c r="N16" s="186" t="str">
        <f>IF('【編集者】入力・計算用シート'!E145&gt;0,"●","")</f>
        <v/>
      </c>
      <c r="O16" s="186" t="str">
        <f>IF('【編集者】入力・計算用シート'!F145&gt;0,"●","")</f>
        <v/>
      </c>
      <c r="P16" s="186" t="str">
        <f>IF('【編集者】入力・計算用シート'!G145&gt;0,"●","")</f>
        <v/>
      </c>
      <c r="Q16" s="186" t="str">
        <f>IF('【編集者】入力・計算用シート'!H145&gt;0,"●","")</f>
        <v/>
      </c>
      <c r="R16" s="186" t="str">
        <f>IF('【編集者】入力・計算用シート'!I145&gt;0,"●","")</f>
        <v/>
      </c>
      <c r="S16" s="186" t="str">
        <f>IF('【編集者】入力・計算用シート'!J145&gt;0,"●","")</f>
        <v/>
      </c>
      <c r="T16" s="186" t="str">
        <f>IF('【編集者】入力・計算用シート'!K145&gt;0,"●","")</f>
        <v/>
      </c>
      <c r="U16" s="186" t="str">
        <f>IF('【編集者】入力・計算用シート'!L145&gt;0,"●","")</f>
        <v/>
      </c>
      <c r="V16" s="186" t="str">
        <f>IF('【編集者】入力・計算用シート'!M145&gt;0,"●","")</f>
        <v/>
      </c>
      <c r="W16" s="186" t="str">
        <f>IF('【編集者】入力・計算用シート'!N145&gt;0,"●","")</f>
        <v/>
      </c>
      <c r="X16" s="92">
        <f t="shared" si="0"/>
        <v>0</v>
      </c>
      <c r="Y16" s="189"/>
    </row>
    <row r="17" spans="2:26">
      <c r="B17" s="153" t="str">
        <f>IF(SUM('【編集者】入力・計算用シート'!C90:F91)=4,"○","")</f>
        <v/>
      </c>
      <c r="C17" s="157" t="s">
        <v>87</v>
      </c>
      <c r="D17" s="47">
        <f>簡易試算シート!D18</f>
        <v>0</v>
      </c>
      <c r="E17" s="47">
        <f>簡易試算シート!E18</f>
        <v>0</v>
      </c>
      <c r="F17" s="47">
        <f>簡易試算シート!F18</f>
        <v>0</v>
      </c>
      <c r="G17" s="47">
        <f>簡易試算シート!G18</f>
        <v>0</v>
      </c>
      <c r="H17" s="47">
        <f>簡易試算シート!H18</f>
        <v>0</v>
      </c>
      <c r="I17" s="177" t="str">
        <f>IF(SUM('【編集者】入力・計算用シート'!C90:F91)=4,"４月","")</f>
        <v/>
      </c>
      <c r="J17" s="177"/>
      <c r="K17" s="181" t="s">
        <v>214</v>
      </c>
      <c r="L17" s="185" t="str">
        <f>IF('【編集者】入力・計算用シート'!C147&gt;0,"●","")</f>
        <v/>
      </c>
      <c r="M17" s="185" t="str">
        <f>IF('【編集者】入力・計算用シート'!D147&gt;0,"●","")</f>
        <v/>
      </c>
      <c r="N17" s="185" t="str">
        <f>IF('【編集者】入力・計算用シート'!E147&gt;0,"●","")</f>
        <v/>
      </c>
      <c r="O17" s="185" t="str">
        <f>IF('【編集者】入力・計算用シート'!F147&gt;0,"●","")</f>
        <v/>
      </c>
      <c r="P17" s="185" t="str">
        <f>IF('【編集者】入力・計算用シート'!G147&gt;0,"●","")</f>
        <v/>
      </c>
      <c r="Q17" s="185" t="str">
        <f>IF('【編集者】入力・計算用シート'!H147&gt;0,"●","")</f>
        <v/>
      </c>
      <c r="R17" s="185" t="str">
        <f>IF('【編集者】入力・計算用シート'!I147&gt;0,"●","")</f>
        <v/>
      </c>
      <c r="S17" s="185" t="str">
        <f>IF('【編集者】入力・計算用シート'!J147&gt;0,"●","")</f>
        <v/>
      </c>
      <c r="T17" s="185" t="str">
        <f>IF('【編集者】入力・計算用シート'!K147&gt;0,"●","")</f>
        <v/>
      </c>
      <c r="U17" s="185" t="str">
        <f>IF('【編集者】入力・計算用シート'!L147&gt;0,"●","")</f>
        <v/>
      </c>
      <c r="V17" s="185" t="str">
        <f>IF('【編集者】入力・計算用シート'!M147&gt;0,"●","")</f>
        <v/>
      </c>
      <c r="W17" s="185" t="str">
        <f>IF('【編集者】入力・計算用シート'!N147&gt;0,"●","")</f>
        <v/>
      </c>
      <c r="X17" s="92">
        <f t="shared" si="0"/>
        <v>0</v>
      </c>
      <c r="Y17" s="189">
        <f>'【編集者】入力・計算用シート'!C194</f>
        <v>0</v>
      </c>
    </row>
    <row r="18" spans="2:26">
      <c r="B18" s="153"/>
      <c r="C18" s="158" t="str">
        <f>"("&amp;IF(SUM('【編集者】入力・計算用シート'!C90:F91)=4,IF('【編集者】入力・計算用シート'!A149="未就学児",'【編集者】入力・計算用シート'!A149,'【編集者】入力・計算用シート'!A150),"　ー　")&amp;")"</f>
        <v>(　ー　)</v>
      </c>
      <c r="D18" s="47"/>
      <c r="E18" s="47"/>
      <c r="F18" s="47"/>
      <c r="G18" s="47"/>
      <c r="H18" s="47"/>
      <c r="I18" s="177" t="str">
        <f>IF('【編集者】入力・計算用シート'!N90=1,"４月","")</f>
        <v/>
      </c>
      <c r="J18" s="177"/>
      <c r="K18" s="182" t="s">
        <v>92</v>
      </c>
      <c r="L18" s="186" t="str">
        <f>IF('【編集者】入力・計算用シート'!C149&gt;0,"●","")</f>
        <v/>
      </c>
      <c r="M18" s="186" t="str">
        <f>IF('【編集者】入力・計算用シート'!D149&gt;0,"●","")</f>
        <v/>
      </c>
      <c r="N18" s="186" t="str">
        <f>IF('【編集者】入力・計算用シート'!E149&gt;0,"●","")</f>
        <v/>
      </c>
      <c r="O18" s="186" t="str">
        <f>IF('【編集者】入力・計算用シート'!F149&gt;0,"●","")</f>
        <v/>
      </c>
      <c r="P18" s="186" t="str">
        <f>IF('【編集者】入力・計算用シート'!G149&gt;0,"●","")</f>
        <v/>
      </c>
      <c r="Q18" s="186" t="str">
        <f>IF('【編集者】入力・計算用シート'!H149&gt;0,"●","")</f>
        <v/>
      </c>
      <c r="R18" s="186" t="str">
        <f>IF('【編集者】入力・計算用シート'!I149&gt;0,"●","")</f>
        <v/>
      </c>
      <c r="S18" s="186" t="str">
        <f>IF('【編集者】入力・計算用シート'!J149&gt;0,"●","")</f>
        <v/>
      </c>
      <c r="T18" s="186" t="str">
        <f>IF('【編集者】入力・計算用シート'!K149&gt;0,"●","")</f>
        <v/>
      </c>
      <c r="U18" s="186" t="str">
        <f>IF('【編集者】入力・計算用シート'!L149&gt;0,"●","")</f>
        <v/>
      </c>
      <c r="V18" s="186" t="str">
        <f>IF('【編集者】入力・計算用シート'!M149&gt;0,"●","")</f>
        <v/>
      </c>
      <c r="W18" s="186" t="str">
        <f>IF('【編集者】入力・計算用シート'!N149&gt;0,"●","")</f>
        <v/>
      </c>
      <c r="X18" s="92">
        <f t="shared" si="0"/>
        <v>0</v>
      </c>
      <c r="Y18" s="189"/>
    </row>
    <row r="19" spans="2:26">
      <c r="B19" s="153" t="str">
        <f>IF(SUM('【編集者】入力・計算用シート'!C92:F93)=4,"○","")</f>
        <v/>
      </c>
      <c r="C19" s="157" t="s">
        <v>89</v>
      </c>
      <c r="D19" s="47">
        <f>簡易試算シート!D20</f>
        <v>0</v>
      </c>
      <c r="E19" s="47">
        <f>簡易試算シート!E20</f>
        <v>0</v>
      </c>
      <c r="F19" s="47">
        <f>簡易試算シート!F20</f>
        <v>0</v>
      </c>
      <c r="G19" s="47">
        <f>簡易試算シート!G20</f>
        <v>0</v>
      </c>
      <c r="H19" s="47">
        <f>簡易試算シート!H20</f>
        <v>0</v>
      </c>
      <c r="I19" s="177" t="str">
        <f>IF(SUM('【編集者】入力・計算用シート'!C92:F93)=4,"４月","")</f>
        <v/>
      </c>
      <c r="J19" s="177"/>
      <c r="K19" s="181" t="s">
        <v>214</v>
      </c>
      <c r="L19" s="185" t="str">
        <f>IF('【編集者】入力・計算用シート'!C151&gt;0,"●","")</f>
        <v/>
      </c>
      <c r="M19" s="185" t="str">
        <f>IF('【編集者】入力・計算用シート'!D151&gt;0,"●","")</f>
        <v/>
      </c>
      <c r="N19" s="185" t="str">
        <f>IF('【編集者】入力・計算用シート'!E151&gt;0,"●","")</f>
        <v/>
      </c>
      <c r="O19" s="185" t="str">
        <f>IF('【編集者】入力・計算用シート'!F151&gt;0,"●","")</f>
        <v/>
      </c>
      <c r="P19" s="185" t="str">
        <f>IF('【編集者】入力・計算用シート'!G151&gt;0,"●","")</f>
        <v/>
      </c>
      <c r="Q19" s="185" t="str">
        <f>IF('【編集者】入力・計算用シート'!H151&gt;0,"●","")</f>
        <v/>
      </c>
      <c r="R19" s="185" t="str">
        <f>IF('【編集者】入力・計算用シート'!I151&gt;0,"●","")</f>
        <v/>
      </c>
      <c r="S19" s="185" t="str">
        <f>IF('【編集者】入力・計算用シート'!J151&gt;0,"●","")</f>
        <v/>
      </c>
      <c r="T19" s="185" t="str">
        <f>IF('【編集者】入力・計算用シート'!K151&gt;0,"●","")</f>
        <v/>
      </c>
      <c r="U19" s="185" t="str">
        <f>IF('【編集者】入力・計算用シート'!L151&gt;0,"●","")</f>
        <v/>
      </c>
      <c r="V19" s="185" t="str">
        <f>IF('【編集者】入力・計算用シート'!M151&gt;0,"●","")</f>
        <v/>
      </c>
      <c r="W19" s="185" t="str">
        <f>IF('【編集者】入力・計算用シート'!N151&gt;0,"●","")</f>
        <v/>
      </c>
      <c r="X19" s="92">
        <f t="shared" si="0"/>
        <v>0</v>
      </c>
      <c r="Y19" s="189">
        <f>'【編集者】入力・計算用シート'!C198</f>
        <v>0</v>
      </c>
    </row>
    <row r="20" spans="2:26">
      <c r="B20" s="153"/>
      <c r="C20" s="158" t="str">
        <f>"("&amp;IF(SUM('【編集者】入力・計算用シート'!C92:F93)=4,IF('【編集者】入力・計算用シート'!A153="未就学児",'【編集者】入力・計算用シート'!A153,'【編集者】入力・計算用シート'!A154),"　ー　")&amp;")"</f>
        <v>(　ー　)</v>
      </c>
      <c r="D20" s="47"/>
      <c r="E20" s="47"/>
      <c r="F20" s="47"/>
      <c r="G20" s="47"/>
      <c r="H20" s="47"/>
      <c r="I20" s="177" t="str">
        <f>IF('【編集者】入力・計算用シート'!N92=1,"４月","")</f>
        <v/>
      </c>
      <c r="J20" s="177"/>
      <c r="K20" s="182" t="s">
        <v>92</v>
      </c>
      <c r="L20" s="186" t="str">
        <f>IF('【編集者】入力・計算用シート'!C153&gt;0,"●","")</f>
        <v/>
      </c>
      <c r="M20" s="186" t="str">
        <f>IF('【編集者】入力・計算用シート'!D153&gt;0,"●","")</f>
        <v/>
      </c>
      <c r="N20" s="186" t="str">
        <f>IF('【編集者】入力・計算用シート'!E153&gt;0,"●","")</f>
        <v/>
      </c>
      <c r="O20" s="186" t="str">
        <f>IF('【編集者】入力・計算用シート'!F153&gt;0,"●","")</f>
        <v/>
      </c>
      <c r="P20" s="186" t="str">
        <f>IF('【編集者】入力・計算用シート'!G153&gt;0,"●","")</f>
        <v/>
      </c>
      <c r="Q20" s="186" t="str">
        <f>IF('【編集者】入力・計算用シート'!H153&gt;0,"●","")</f>
        <v/>
      </c>
      <c r="R20" s="186" t="str">
        <f>IF('【編集者】入力・計算用シート'!I153&gt;0,"●","")</f>
        <v/>
      </c>
      <c r="S20" s="186" t="str">
        <f>IF('【編集者】入力・計算用シート'!J153&gt;0,"●","")</f>
        <v/>
      </c>
      <c r="T20" s="186" t="str">
        <f>IF('【編集者】入力・計算用シート'!K153&gt;0,"●","")</f>
        <v/>
      </c>
      <c r="U20" s="186" t="str">
        <f>IF('【編集者】入力・計算用シート'!L153&gt;0,"●","")</f>
        <v/>
      </c>
      <c r="V20" s="186" t="str">
        <f>IF('【編集者】入力・計算用シート'!M153&gt;0,"●","")</f>
        <v/>
      </c>
      <c r="W20" s="186" t="str">
        <f>IF('【編集者】入力・計算用シート'!N153&gt;0,"●","")</f>
        <v/>
      </c>
      <c r="X20" s="92">
        <f t="shared" si="0"/>
        <v>0</v>
      </c>
      <c r="Y20" s="189"/>
    </row>
    <row r="21" spans="2:26">
      <c r="B21" s="153" t="str">
        <f>IF(SUM('【編集者】入力・計算用シート'!C94:F95)=4,"○","")</f>
        <v/>
      </c>
      <c r="C21" s="157" t="s">
        <v>91</v>
      </c>
      <c r="D21" s="47">
        <f>簡易試算シート!D22</f>
        <v>0</v>
      </c>
      <c r="E21" s="47">
        <f>簡易試算シート!E22</f>
        <v>0</v>
      </c>
      <c r="F21" s="47">
        <f>簡易試算シート!F22</f>
        <v>0</v>
      </c>
      <c r="G21" s="47">
        <f>簡易試算シート!G22</f>
        <v>0</v>
      </c>
      <c r="H21" s="47">
        <f>簡易試算シート!H22</f>
        <v>0</v>
      </c>
      <c r="I21" s="177" t="str">
        <f>IF(SUM('【編集者】入力・計算用シート'!C94:F95)=4,"４月","")</f>
        <v/>
      </c>
      <c r="J21" s="177"/>
      <c r="K21" s="181" t="s">
        <v>214</v>
      </c>
      <c r="L21" s="185" t="str">
        <f>IF('【編集者】入力・計算用シート'!C155&gt;0,"●","")</f>
        <v/>
      </c>
      <c r="M21" s="185" t="str">
        <f>IF('【編集者】入力・計算用シート'!D155&gt;0,"●","")</f>
        <v/>
      </c>
      <c r="N21" s="185" t="str">
        <f>IF('【編集者】入力・計算用シート'!E155&gt;0,"●","")</f>
        <v/>
      </c>
      <c r="O21" s="185" t="str">
        <f>IF('【編集者】入力・計算用シート'!F155&gt;0,"●","")</f>
        <v/>
      </c>
      <c r="P21" s="185" t="str">
        <f>IF('【編集者】入力・計算用シート'!G155&gt;0,"●","")</f>
        <v/>
      </c>
      <c r="Q21" s="185" t="str">
        <f>IF('【編集者】入力・計算用シート'!H155&gt;0,"●","")</f>
        <v/>
      </c>
      <c r="R21" s="185" t="str">
        <f>IF('【編集者】入力・計算用シート'!I155&gt;0,"●","")</f>
        <v/>
      </c>
      <c r="S21" s="185" t="str">
        <f>IF('【編集者】入力・計算用シート'!J155&gt;0,"●","")</f>
        <v/>
      </c>
      <c r="T21" s="185" t="str">
        <f>IF('【編集者】入力・計算用シート'!K155&gt;0,"●","")</f>
        <v/>
      </c>
      <c r="U21" s="185" t="str">
        <f>IF('【編集者】入力・計算用シート'!L155&gt;0,"●","")</f>
        <v/>
      </c>
      <c r="V21" s="185" t="str">
        <f>IF('【編集者】入力・計算用シート'!M155&gt;0,"●","")</f>
        <v/>
      </c>
      <c r="W21" s="185" t="str">
        <f>IF('【編集者】入力・計算用シート'!N155&gt;0,"●","")</f>
        <v/>
      </c>
      <c r="X21" s="92">
        <f t="shared" si="0"/>
        <v>0</v>
      </c>
      <c r="Y21" s="189">
        <f>'【編集者】入力・計算用シート'!C202</f>
        <v>0</v>
      </c>
    </row>
    <row r="22" spans="2:26">
      <c r="B22" s="153"/>
      <c r="C22" s="158" t="str">
        <f>"("&amp;IF(SUM('【編集者】入力・計算用シート'!C94:F95)=4,IF('【編集者】入力・計算用シート'!A157="未就学児",'【編集者】入力・計算用シート'!A157,'【編集者】入力・計算用シート'!A158),"　ー　")&amp;")"</f>
        <v>(　ー　)</v>
      </c>
      <c r="D22" s="47"/>
      <c r="E22" s="47"/>
      <c r="F22" s="47"/>
      <c r="G22" s="47"/>
      <c r="H22" s="47"/>
      <c r="I22" s="177"/>
      <c r="J22" s="177"/>
      <c r="K22" s="182" t="s">
        <v>92</v>
      </c>
      <c r="L22" s="186" t="str">
        <f>IF('【編集者】入力・計算用シート'!C157&gt;0,"●","")</f>
        <v/>
      </c>
      <c r="M22" s="186" t="str">
        <f>IF('【編集者】入力・計算用シート'!D157&gt;0,"●","")</f>
        <v/>
      </c>
      <c r="N22" s="186" t="str">
        <f>IF('【編集者】入力・計算用シート'!E157&gt;0,"●","")</f>
        <v/>
      </c>
      <c r="O22" s="186" t="str">
        <f>IF('【編集者】入力・計算用シート'!F157&gt;0,"●","")</f>
        <v/>
      </c>
      <c r="P22" s="186" t="str">
        <f>IF('【編集者】入力・計算用シート'!G157&gt;0,"●","")</f>
        <v/>
      </c>
      <c r="Q22" s="186" t="str">
        <f>IF('【編集者】入力・計算用シート'!H157&gt;0,"●","")</f>
        <v/>
      </c>
      <c r="R22" s="186" t="str">
        <f>IF('【編集者】入力・計算用シート'!I157&gt;0,"●","")</f>
        <v/>
      </c>
      <c r="S22" s="186" t="str">
        <f>IF('【編集者】入力・計算用シート'!J157&gt;0,"●","")</f>
        <v/>
      </c>
      <c r="T22" s="186" t="str">
        <f>IF('【編集者】入力・計算用シート'!K157&gt;0,"●","")</f>
        <v/>
      </c>
      <c r="U22" s="186" t="str">
        <f>IF('【編集者】入力・計算用シート'!L157&gt;0,"●","")</f>
        <v/>
      </c>
      <c r="V22" s="186" t="str">
        <f>IF('【編集者】入力・計算用シート'!M157&gt;0,"●","")</f>
        <v/>
      </c>
      <c r="W22" s="186" t="str">
        <f>IF('【編集者】入力・計算用シート'!N157&gt;0,"●","")</f>
        <v/>
      </c>
      <c r="X22" s="92">
        <f t="shared" si="0"/>
        <v>0</v>
      </c>
      <c r="Y22" s="189"/>
    </row>
    <row r="23" spans="2:26">
      <c r="B23" s="154">
        <f>COUNTIF(B7:B22,"○")</f>
        <v>0</v>
      </c>
      <c r="C23" s="154" t="s">
        <v>143</v>
      </c>
      <c r="D23" s="163" t="s">
        <v>61</v>
      </c>
      <c r="E23" s="164"/>
      <c r="F23" s="164"/>
      <c r="G23" s="164"/>
      <c r="H23" s="175" t="s">
        <v>274</v>
      </c>
      <c r="I23" s="178"/>
      <c r="J23" s="178"/>
      <c r="K23" s="183" t="s">
        <v>114</v>
      </c>
      <c r="L23" s="175" t="str">
        <f>IF('【編集者】入力・計算用シート'!C166&gt;0,"●","")</f>
        <v/>
      </c>
      <c r="M23" s="175" t="str">
        <f>IF('【編集者】入力・計算用シート'!D166&gt;0,"●","")</f>
        <v/>
      </c>
      <c r="N23" s="175" t="str">
        <f>IF('【編集者】入力・計算用シート'!E166&gt;0,"●","")</f>
        <v/>
      </c>
      <c r="O23" s="175" t="str">
        <f>IF('【編集者】入力・計算用シート'!F166&gt;0,"●","")</f>
        <v/>
      </c>
      <c r="P23" s="175" t="str">
        <f>IF('【編集者】入力・計算用シート'!G166&gt;0,"●","")</f>
        <v/>
      </c>
      <c r="Q23" s="175" t="str">
        <f>IF('【編集者】入力・計算用シート'!H166&gt;0,"●","")</f>
        <v/>
      </c>
      <c r="R23" s="175" t="str">
        <f>IF('【編集者】入力・計算用シート'!I166&gt;0,"●","")</f>
        <v/>
      </c>
      <c r="S23" s="175" t="str">
        <f>IF('【編集者】入力・計算用シート'!J166&gt;0,"●","")</f>
        <v/>
      </c>
      <c r="T23" s="175" t="str">
        <f>IF('【編集者】入力・計算用シート'!K166&gt;0,"●","")</f>
        <v/>
      </c>
      <c r="U23" s="175" t="str">
        <f>IF('【編集者】入力・計算用シート'!L166&gt;0,"●","")</f>
        <v/>
      </c>
      <c r="V23" s="175" t="str">
        <f>IF('【編集者】入力・計算用シート'!M166&gt;0,"●","")</f>
        <v/>
      </c>
      <c r="W23" s="175" t="str">
        <f>IF('【編集者】入力・計算用シート'!N166&gt;0,"●","")</f>
        <v/>
      </c>
      <c r="X23" s="175">
        <f t="shared" si="0"/>
        <v>0</v>
      </c>
    </row>
    <row r="24" spans="2:26">
      <c r="B24" s="154"/>
      <c r="C24" s="154"/>
      <c r="D24" s="164"/>
      <c r="E24" s="164"/>
      <c r="F24" s="164"/>
      <c r="G24" s="164"/>
      <c r="H24" s="175" t="s">
        <v>237</v>
      </c>
      <c r="I24" s="178"/>
      <c r="J24" s="178"/>
      <c r="K24" s="183" t="s">
        <v>58</v>
      </c>
      <c r="L24" s="175" t="str">
        <f>IF('【編集者】入力・計算用シート'!C167&gt;0,"●","")</f>
        <v/>
      </c>
      <c r="M24" s="175" t="str">
        <f>IF('【編集者】入力・計算用シート'!D167&gt;0,"●","")</f>
        <v/>
      </c>
      <c r="N24" s="175" t="str">
        <f>IF('【編集者】入力・計算用シート'!E167&gt;0,"●","")</f>
        <v/>
      </c>
      <c r="O24" s="175" t="str">
        <f>IF('【編集者】入力・計算用シート'!F167&gt;0,"●","")</f>
        <v/>
      </c>
      <c r="P24" s="175" t="str">
        <f>IF('【編集者】入力・計算用シート'!G167&gt;0,"●","")</f>
        <v/>
      </c>
      <c r="Q24" s="175" t="str">
        <f>IF('【編集者】入力・計算用シート'!H167&gt;0,"●","")</f>
        <v/>
      </c>
      <c r="R24" s="175" t="str">
        <f>IF('【編集者】入力・計算用シート'!I167&gt;0,"●","")</f>
        <v/>
      </c>
      <c r="S24" s="175" t="str">
        <f>IF('【編集者】入力・計算用シート'!J167&gt;0,"●","")</f>
        <v/>
      </c>
      <c r="T24" s="175" t="str">
        <f>IF('【編集者】入力・計算用シート'!K167&gt;0,"●","")</f>
        <v/>
      </c>
      <c r="U24" s="175" t="str">
        <f>IF('【編集者】入力・計算用シート'!L167&gt;0,"●","")</f>
        <v/>
      </c>
      <c r="V24" s="175" t="str">
        <f>IF('【編集者】入力・計算用シート'!M167&gt;0,"●","")</f>
        <v/>
      </c>
      <c r="W24" s="175" t="str">
        <f>IF('【編集者】入力・計算用シート'!N167&gt;0,"●","")</f>
        <v/>
      </c>
      <c r="X24" s="175">
        <f t="shared" si="0"/>
        <v>0</v>
      </c>
      <c r="Z24" s="190"/>
    </row>
    <row r="25" spans="2:26">
      <c r="K25" s="184" t="s">
        <v>355</v>
      </c>
      <c r="L25" s="184"/>
      <c r="M25" s="184"/>
      <c r="N25" s="184"/>
      <c r="O25" s="184"/>
      <c r="P25" s="184"/>
      <c r="Q25" s="184"/>
      <c r="R25" s="184"/>
      <c r="S25" s="184"/>
      <c r="T25" s="184"/>
      <c r="U25" s="184"/>
      <c r="V25" s="184"/>
      <c r="W25" s="184"/>
      <c r="X25" s="184"/>
      <c r="Z25" s="190"/>
    </row>
    <row r="26" spans="2:26">
      <c r="K26" s="184"/>
      <c r="L26" s="184"/>
      <c r="M26" s="184"/>
      <c r="N26" s="184"/>
      <c r="O26" s="184"/>
      <c r="P26" s="184"/>
      <c r="Q26" s="184"/>
      <c r="R26" s="184"/>
      <c r="S26" s="184"/>
      <c r="T26" s="184"/>
      <c r="U26" s="184"/>
      <c r="V26" s="184"/>
      <c r="W26" s="184"/>
      <c r="X26" s="184"/>
    </row>
    <row r="27" spans="2:26">
      <c r="K27" s="184"/>
      <c r="L27" s="184"/>
      <c r="M27" s="184"/>
      <c r="N27" s="184"/>
      <c r="O27" s="184"/>
      <c r="P27" s="184"/>
      <c r="Q27" s="184"/>
      <c r="R27" s="184"/>
      <c r="S27" s="184"/>
      <c r="T27" s="184"/>
      <c r="U27" s="184"/>
      <c r="V27" s="184"/>
      <c r="W27" s="184"/>
      <c r="X27" s="184"/>
    </row>
    <row r="29" spans="2:26" ht="12.75">
      <c r="D29" s="165" t="s">
        <v>64</v>
      </c>
      <c r="E29" s="168"/>
      <c r="F29" s="171"/>
    </row>
    <row r="30" spans="2:26" ht="13.9" customHeight="1">
      <c r="D30" s="166">
        <f>IFERROR(VLOOKUP("○",軽減判定シート!$L$9:$M$13,2,0),0)</f>
        <v>0</v>
      </c>
      <c r="E30" s="169"/>
      <c r="F30" s="172"/>
      <c r="G30" s="174" t="s">
        <v>151</v>
      </c>
      <c r="H30" s="176"/>
      <c r="J30" s="179">
        <v>0</v>
      </c>
      <c r="K30" s="179" t="s">
        <v>344</v>
      </c>
    </row>
    <row r="31" spans="2:26" ht="13.9" customHeight="1">
      <c r="D31" s="167"/>
      <c r="E31" s="170"/>
      <c r="F31" s="173"/>
      <c r="G31" s="174"/>
      <c r="H31" s="176"/>
      <c r="J31" s="179">
        <v>2</v>
      </c>
      <c r="K31" s="179" t="s">
        <v>211</v>
      </c>
    </row>
    <row r="32" spans="2:26" ht="13.9" customHeight="1">
      <c r="J32" s="179">
        <v>5</v>
      </c>
      <c r="K32" s="179" t="s">
        <v>336</v>
      </c>
    </row>
    <row r="33" spans="10:11" ht="13.9" customHeight="1">
      <c r="J33" s="179">
        <v>7</v>
      </c>
      <c r="K33" s="179" t="s">
        <v>335</v>
      </c>
    </row>
    <row r="34" spans="10:11" ht="13.9" customHeight="1"/>
    <row r="35" spans="10:11" ht="13.9" customHeight="1"/>
    <row r="36" spans="10:11" ht="13.9" customHeight="1"/>
    <row r="37" spans="10:11" ht="13.9" customHeight="1"/>
    <row r="38" spans="10:11" ht="13.9" customHeight="1"/>
    <row r="39" spans="10:11" ht="13.9" customHeight="1"/>
    <row r="40" spans="10:11" ht="13.9" customHeight="1"/>
    <row r="41" spans="10:11" ht="13.9" customHeight="1"/>
    <row r="42" spans="10:11" ht="13.9" customHeight="1"/>
    <row r="43" spans="10:11" ht="13.9" customHeight="1"/>
    <row r="44" spans="10:11" ht="13.9" customHeight="1"/>
    <row r="45" spans="10:11" ht="13.9" customHeight="1"/>
    <row r="46" spans="10:11" ht="13.9" customHeight="1"/>
    <row r="47" spans="10:11" ht="13.9" customHeight="1"/>
  </sheetData>
  <mergeCells count="85">
    <mergeCell ref="D5:G5"/>
    <mergeCell ref="I5:J5"/>
    <mergeCell ref="I6:J6"/>
    <mergeCell ref="C1:G2"/>
    <mergeCell ref="H1:X2"/>
    <mergeCell ref="B5:B6"/>
    <mergeCell ref="C5:C6"/>
    <mergeCell ref="H5:H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B7:B8"/>
    <mergeCell ref="D7:D8"/>
    <mergeCell ref="E7:E8"/>
    <mergeCell ref="F7:F8"/>
    <mergeCell ref="G7:G8"/>
    <mergeCell ref="H7:H8"/>
    <mergeCell ref="Y7:Y8"/>
    <mergeCell ref="B9:B10"/>
    <mergeCell ref="D9:D10"/>
    <mergeCell ref="E9:E10"/>
    <mergeCell ref="F9:F10"/>
    <mergeCell ref="G9:G10"/>
    <mergeCell ref="H9:H10"/>
    <mergeCell ref="Y9:Y10"/>
    <mergeCell ref="B11:B12"/>
    <mergeCell ref="D11:D12"/>
    <mergeCell ref="E11:E12"/>
    <mergeCell ref="F11:F12"/>
    <mergeCell ref="G11:G12"/>
    <mergeCell ref="H11:H12"/>
    <mergeCell ref="Y11:Y12"/>
    <mergeCell ref="B13:B14"/>
    <mergeCell ref="D13:D14"/>
    <mergeCell ref="E13:E14"/>
    <mergeCell ref="F13:F14"/>
    <mergeCell ref="G13:G14"/>
    <mergeCell ref="H13:H14"/>
    <mergeCell ref="Y13:Y14"/>
    <mergeCell ref="B15:B16"/>
    <mergeCell ref="D15:D16"/>
    <mergeCell ref="E15:E16"/>
    <mergeCell ref="F15:F16"/>
    <mergeCell ref="G15:G16"/>
    <mergeCell ref="H15:H16"/>
    <mergeCell ref="Y15:Y16"/>
    <mergeCell ref="B17:B18"/>
    <mergeCell ref="D17:D18"/>
    <mergeCell ref="E17:E18"/>
    <mergeCell ref="F17:F18"/>
    <mergeCell ref="G17:G18"/>
    <mergeCell ref="H17:H18"/>
    <mergeCell ref="Y17:Y18"/>
    <mergeCell ref="B19:B20"/>
    <mergeCell ref="D19:D20"/>
    <mergeCell ref="E19:E20"/>
    <mergeCell ref="F19:F20"/>
    <mergeCell ref="G19:G20"/>
    <mergeCell ref="H19:H20"/>
    <mergeCell ref="Y19:Y20"/>
    <mergeCell ref="B21:B22"/>
    <mergeCell ref="D21:D22"/>
    <mergeCell ref="E21:E22"/>
    <mergeCell ref="F21:F22"/>
    <mergeCell ref="G21:G22"/>
    <mergeCell ref="H21:H22"/>
    <mergeCell ref="Y21:Y22"/>
    <mergeCell ref="B23:B24"/>
    <mergeCell ref="C23:C24"/>
    <mergeCell ref="D23:G24"/>
    <mergeCell ref="K25:X27"/>
    <mergeCell ref="D30:F31"/>
    <mergeCell ref="G30:H31"/>
  </mergeCells>
  <phoneticPr fontId="20" type="Hiragana"/>
  <conditionalFormatting sqref="D30">
    <cfRule type="cellIs" dxfId="1" priority="1" stopIfTrue="1" operator="equal">
      <formula>0</formula>
    </cfRule>
  </conditionalFormatting>
  <dataValidations count="4">
    <dataValidation allowBlank="0" showDropDown="0" showInputMessage="1" showErrorMessage="1" sqref="B21 B19 B17 B15 B13 B11 B9 B7"/>
    <dataValidation type="list" allowBlank="0" showDropDown="0" showInputMessage="1" showErrorMessage="1" sqref="F29">
      <formula1>"-,４月,５月,６月,７月,８月,９月,１０月,１１月,１２月,翌１月,翌２月,翌３月"</formula1>
    </dataValidation>
    <dataValidation allowBlank="1" showDropDown="0" showInputMessage="1" showErrorMessage="0" sqref="D7:J24"/>
    <dataValidation allowBlank="0" showDropDown="0" showInputMessage="1" showErrorMessage="0" sqref="D30:F31"/>
  </dataValidations>
  <pageMargins left="0.78740157480314954" right="0.78740157480314954" top="0.98425196850393704" bottom="0.98425196850393704" header="0.51181102362204722" footer="0.51181102362204722"/>
  <pageSetup paperSize="9" scale="63" fitToWidth="1" fitToHeight="1"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7" tint="0.8"/>
    <pageSetUpPr fitToPage="1"/>
  </sheetPr>
  <dimension ref="A1:T59"/>
  <sheetViews>
    <sheetView workbookViewId="0">
      <selection activeCell="M310" sqref="M310"/>
    </sheetView>
  </sheetViews>
  <sheetFormatPr defaultRowHeight="10.5"/>
  <cols>
    <col min="1" max="1" width="1.796875" style="191" bestFit="1" customWidth="1"/>
    <col min="2" max="2" width="5.33203125" style="191" bestFit="1" customWidth="1"/>
    <col min="3" max="3" width="13.59765625" style="191" customWidth="1"/>
    <col min="4" max="5" width="25.796875" style="191" customWidth="1"/>
    <col min="6" max="7" width="7.3984375" style="191" bestFit="1" customWidth="1"/>
    <col min="8" max="8" width="16.86328125" style="191" customWidth="1"/>
    <col min="9" max="10" width="3.59765625" style="191" customWidth="1"/>
    <col min="11" max="11" width="3.06640625" style="191" customWidth="1"/>
    <col min="12" max="12" width="12.265625" style="191" customWidth="1"/>
    <col min="13" max="13" width="13.53125" style="191" customWidth="1"/>
    <col min="14" max="14" width="11.33203125" style="191" customWidth="1"/>
    <col min="15" max="15" width="3.06640625" style="191" bestFit="1" customWidth="1"/>
    <col min="16" max="16" width="8.9296875" style="191" bestFit="1" customWidth="1"/>
    <col min="17" max="17" width="2.06640625" style="191" bestFit="1" customWidth="1"/>
    <col min="18" max="18" width="3.06640625" style="191" bestFit="1" customWidth="1"/>
    <col min="19" max="19" width="7.73046875" style="191" customWidth="1"/>
    <col min="20" max="16384" width="9.06640625" style="191" customWidth="1"/>
  </cols>
  <sheetData>
    <row r="1" spans="1:20" ht="13.15" customHeight="1">
      <c r="C1" s="207" t="str">
        <f>試算シート!C1</f>
        <v>令和8</v>
      </c>
      <c r="D1" s="215" t="s">
        <v>124</v>
      </c>
      <c r="E1" s="215"/>
      <c r="F1" s="227"/>
      <c r="G1" s="227"/>
      <c r="H1" s="227"/>
      <c r="J1" s="78"/>
      <c r="K1" s="78"/>
      <c r="L1" s="78"/>
      <c r="M1" s="78"/>
      <c r="N1" s="78"/>
      <c r="O1" s="78"/>
      <c r="P1" s="78"/>
      <c r="Q1" s="78"/>
      <c r="R1" s="78"/>
      <c r="S1" s="78"/>
      <c r="T1" s="78"/>
    </row>
    <row r="2" spans="1:20" ht="16.899999999999999">
      <c r="B2" s="193"/>
      <c r="C2" s="208"/>
      <c r="D2" s="216"/>
      <c r="E2" s="216"/>
      <c r="F2" s="193"/>
      <c r="G2" s="193"/>
      <c r="H2" s="193"/>
      <c r="I2" s="230"/>
      <c r="J2" s="78"/>
      <c r="K2" s="234" t="s">
        <v>141</v>
      </c>
      <c r="L2" s="234"/>
      <c r="M2" s="78"/>
      <c r="N2" s="78"/>
      <c r="O2" s="78"/>
      <c r="P2" s="78"/>
      <c r="Q2" s="78"/>
      <c r="R2" s="78"/>
      <c r="S2" s="78"/>
      <c r="T2" s="248"/>
    </row>
    <row r="3" spans="1:20" ht="12.4" customHeight="1">
      <c r="C3" s="209"/>
      <c r="D3" s="209"/>
      <c r="E3" s="224"/>
      <c r="F3" s="224"/>
      <c r="G3" s="224"/>
      <c r="H3" s="224"/>
      <c r="I3" s="224"/>
      <c r="J3" s="78"/>
      <c r="K3" s="235"/>
      <c r="L3" s="235"/>
      <c r="M3" s="78"/>
      <c r="N3" s="78"/>
      <c r="O3" s="78"/>
      <c r="P3" s="78"/>
      <c r="Q3" s="78"/>
      <c r="R3" s="78"/>
      <c r="S3" s="78"/>
      <c r="T3" s="78"/>
    </row>
    <row r="4" spans="1:20" ht="13.5" customHeight="1">
      <c r="A4" s="192"/>
      <c r="B4" s="194" t="s">
        <v>140</v>
      </c>
      <c r="D4" s="209"/>
      <c r="E4" s="224"/>
      <c r="F4" s="224"/>
      <c r="G4" s="224"/>
      <c r="H4" s="224"/>
      <c r="I4" s="224"/>
      <c r="J4" s="78"/>
      <c r="K4" s="236"/>
      <c r="L4" s="236"/>
      <c r="M4" s="80"/>
      <c r="N4" s="80"/>
      <c r="O4" s="80"/>
      <c r="P4" s="80"/>
      <c r="Q4" s="80"/>
      <c r="R4" s="80"/>
      <c r="S4" s="80"/>
      <c r="T4" s="78"/>
    </row>
    <row r="5" spans="1:20" ht="13.5" customHeight="1">
      <c r="A5" s="192"/>
      <c r="B5" s="195" t="s">
        <v>63</v>
      </c>
      <c r="C5" s="194" t="s">
        <v>263</v>
      </c>
      <c r="J5" s="78"/>
      <c r="K5" s="80"/>
      <c r="L5" s="239" t="s">
        <v>107</v>
      </c>
      <c r="M5" s="239"/>
      <c r="N5" s="239">
        <f>COUNTIF(B17:B58,"○")</f>
        <v>0</v>
      </c>
      <c r="O5" s="243" t="s">
        <v>171</v>
      </c>
      <c r="P5" s="243"/>
      <c r="Q5" s="239">
        <f>'【編集者】入力・計算用シート'!K303</f>
        <v>0</v>
      </c>
      <c r="R5" s="239" t="s">
        <v>170</v>
      </c>
      <c r="S5" s="80"/>
      <c r="T5" s="78"/>
    </row>
    <row r="6" spans="1:20" ht="13.5" customHeight="1">
      <c r="B6" s="196" t="s">
        <v>242</v>
      </c>
      <c r="C6" s="196"/>
      <c r="D6" s="196"/>
      <c r="E6" s="196"/>
      <c r="F6" s="196"/>
      <c r="G6" s="196"/>
      <c r="H6" s="196"/>
      <c r="I6" s="231"/>
      <c r="J6" s="78"/>
      <c r="K6" s="80"/>
      <c r="L6" s="239" t="s">
        <v>108</v>
      </c>
      <c r="M6" s="241">
        <f>SUM(H17:H58)</f>
        <v>0</v>
      </c>
      <c r="N6" s="241"/>
      <c r="O6" s="239" t="s">
        <v>115</v>
      </c>
      <c r="P6" s="239"/>
      <c r="Q6" s="239"/>
      <c r="R6" s="239"/>
      <c r="S6" s="80"/>
      <c r="T6" s="78"/>
    </row>
    <row r="7" spans="1:20" ht="13.5" customHeight="1">
      <c r="B7" s="197"/>
      <c r="C7" s="197"/>
      <c r="D7" s="197"/>
      <c r="E7" s="197"/>
      <c r="F7" s="197"/>
      <c r="G7" s="197"/>
      <c r="H7" s="197"/>
      <c r="I7" s="232"/>
      <c r="J7" s="78"/>
      <c r="K7" s="80"/>
      <c r="L7" s="80"/>
      <c r="M7" s="80"/>
      <c r="N7" s="80"/>
      <c r="O7" s="80"/>
      <c r="P7" s="80"/>
      <c r="Q7" s="80"/>
      <c r="R7" s="80"/>
      <c r="S7" s="80"/>
      <c r="T7" s="78"/>
    </row>
    <row r="8" spans="1:20" ht="12.75">
      <c r="C8" s="210"/>
      <c r="D8" s="217" t="s">
        <v>155</v>
      </c>
      <c r="J8" s="78"/>
      <c r="K8" s="80"/>
      <c r="L8" s="80"/>
      <c r="M8" s="80"/>
      <c r="N8" s="80"/>
      <c r="O8" s="80"/>
      <c r="P8" s="80"/>
      <c r="Q8" s="80"/>
      <c r="R8" s="80"/>
      <c r="S8" s="80"/>
      <c r="T8" s="78"/>
    </row>
    <row r="9" spans="1:20" ht="12.75">
      <c r="B9" s="198"/>
      <c r="C9" s="211"/>
      <c r="D9" s="218" t="s">
        <v>194</v>
      </c>
      <c r="E9" s="161" t="s">
        <v>168</v>
      </c>
      <c r="F9" s="152" t="s">
        <v>233</v>
      </c>
      <c r="G9" s="152" t="s">
        <v>167</v>
      </c>
      <c r="H9" s="156" t="s">
        <v>108</v>
      </c>
      <c r="J9" s="78"/>
      <c r="K9" s="80"/>
      <c r="L9" s="240" t="s">
        <v>112</v>
      </c>
      <c r="M9" s="240" t="s">
        <v>358</v>
      </c>
      <c r="N9" s="240" t="s">
        <v>108</v>
      </c>
      <c r="O9" s="240"/>
      <c r="P9" s="240"/>
      <c r="Q9" s="245"/>
      <c r="R9" s="245"/>
      <c r="S9" s="80"/>
      <c r="T9" s="78"/>
    </row>
    <row r="10" spans="1:20" ht="12.75">
      <c r="B10" s="199"/>
      <c r="C10" s="212"/>
      <c r="D10" s="218"/>
      <c r="E10" s="225" t="str">
        <f>"※６５歳以上（"&amp;'【編集者】入力・計算用シート'!$F$303&amp;"）のみ入力"</f>
        <v>※６５歳以上（～S36.1.1生）のみ入力</v>
      </c>
      <c r="F10" s="152"/>
      <c r="G10" s="152"/>
      <c r="H10" s="156"/>
      <c r="J10" s="78"/>
      <c r="K10" s="80"/>
      <c r="L10" s="240" t="str">
        <f>IF($N$5=0,"",'【編集者】入力・計算用シート'!D304)</f>
        <v/>
      </c>
      <c r="M10" s="240">
        <v>7</v>
      </c>
      <c r="N10" s="242">
        <v>0</v>
      </c>
      <c r="O10" s="242" t="s">
        <v>6</v>
      </c>
      <c r="P10" s="242">
        <f>IF(N5=0,0,'【編集者】入力・計算用シート'!B304)</f>
        <v>0</v>
      </c>
      <c r="Q10" s="246"/>
      <c r="R10" s="246"/>
      <c r="S10" s="80"/>
      <c r="T10" s="78"/>
    </row>
    <row r="11" spans="1:20" ht="12.75">
      <c r="B11" s="200" t="s">
        <v>100</v>
      </c>
      <c r="C11" s="200"/>
      <c r="D11" s="49">
        <f>簡易試算シート!H24</f>
        <v>0</v>
      </c>
      <c r="E11" s="49">
        <f>簡易試算シート!I24</f>
        <v>0</v>
      </c>
      <c r="F11" s="49">
        <f>簡易試算シート!J24</f>
        <v>0</v>
      </c>
      <c r="G11" s="228">
        <f>IF(D11&gt;0,IF(E11&gt;0,MIN(E11,150000),0),0)</f>
        <v>0</v>
      </c>
      <c r="H11" s="228">
        <f>IF(D11-G11=0,0,D11-G11)</f>
        <v>0</v>
      </c>
      <c r="J11" s="78"/>
      <c r="K11" s="80"/>
      <c r="L11" s="240" t="str">
        <f>IF($N$5=0,"",'【編集者】入力・計算用シート'!D305)</f>
        <v/>
      </c>
      <c r="M11" s="240">
        <v>5</v>
      </c>
      <c r="N11" s="242">
        <f>IF(N5=0,0,P10+1)</f>
        <v>0</v>
      </c>
      <c r="O11" s="242" t="s">
        <v>6</v>
      </c>
      <c r="P11" s="242">
        <f>IF(N5=0,0,'【編集者】入力・計算用シート'!B305)</f>
        <v>0</v>
      </c>
      <c r="Q11" s="246"/>
      <c r="R11" s="246"/>
      <c r="S11" s="80"/>
      <c r="T11" s="78"/>
    </row>
    <row r="12" spans="1:20" ht="12.75">
      <c r="B12" s="200"/>
      <c r="C12" s="200"/>
      <c r="D12" s="49"/>
      <c r="E12" s="49"/>
      <c r="F12" s="49"/>
      <c r="G12" s="228"/>
      <c r="H12" s="228"/>
      <c r="J12" s="78"/>
      <c r="K12" s="80"/>
      <c r="L12" s="240" t="str">
        <f>IF($N$5=0,"",'【編集者】入力・計算用シート'!D306)</f>
        <v/>
      </c>
      <c r="M12" s="240">
        <v>2</v>
      </c>
      <c r="N12" s="242">
        <f>IF(N5=0,0,P11+1)</f>
        <v>0</v>
      </c>
      <c r="O12" s="242" t="s">
        <v>6</v>
      </c>
      <c r="P12" s="242">
        <f>IF(N5=0,0,'【編集者】入力・計算用シート'!B306)</f>
        <v>0</v>
      </c>
      <c r="Q12" s="246"/>
      <c r="R12" s="246"/>
      <c r="S12" s="80"/>
      <c r="T12" s="78"/>
    </row>
    <row r="13" spans="1:20" ht="12.75">
      <c r="B13" s="201"/>
      <c r="C13" s="201"/>
      <c r="D13" s="219"/>
      <c r="E13" s="226"/>
      <c r="F13" s="226"/>
      <c r="G13" s="226"/>
      <c r="J13" s="78"/>
      <c r="K13" s="80"/>
      <c r="L13" s="240" t="str">
        <f>IF($N$5=0,"",IF(M6&gt;P12,"○",""))</f>
        <v/>
      </c>
      <c r="M13" s="240">
        <v>0</v>
      </c>
      <c r="N13" s="242">
        <f>IF(N5=0,0,P12+1)</f>
        <v>0</v>
      </c>
      <c r="O13" s="242" t="s">
        <v>6</v>
      </c>
      <c r="P13" s="244"/>
      <c r="Q13" s="80"/>
      <c r="R13" s="80"/>
      <c r="S13" s="80"/>
      <c r="T13" s="78"/>
    </row>
    <row r="14" spans="1:20" ht="12.75">
      <c r="B14" s="202" t="s">
        <v>156</v>
      </c>
      <c r="D14" s="220" t="s">
        <v>229</v>
      </c>
      <c r="E14" s="220"/>
      <c r="J14" s="78"/>
      <c r="K14" s="80"/>
      <c r="L14" s="80"/>
      <c r="M14" s="80"/>
      <c r="N14" s="80"/>
      <c r="O14" s="80"/>
      <c r="P14" s="80"/>
      <c r="Q14" s="80"/>
      <c r="R14" s="80"/>
      <c r="S14" s="247"/>
      <c r="T14" s="78"/>
    </row>
    <row r="15" spans="1:20">
      <c r="B15" s="161" t="s">
        <v>173</v>
      </c>
      <c r="C15" s="156" t="s">
        <v>165</v>
      </c>
      <c r="D15" s="156" t="s">
        <v>194</v>
      </c>
      <c r="E15" s="161" t="s">
        <v>168</v>
      </c>
      <c r="F15" s="152" t="s">
        <v>233</v>
      </c>
      <c r="G15" s="152" t="s">
        <v>167</v>
      </c>
      <c r="H15" s="156" t="s">
        <v>108</v>
      </c>
      <c r="J15" s="78"/>
      <c r="K15" s="78"/>
      <c r="L15" s="78"/>
      <c r="M15" s="78"/>
      <c r="N15" s="78"/>
      <c r="O15" s="78"/>
      <c r="P15" s="78"/>
      <c r="Q15" s="78"/>
      <c r="R15" s="78"/>
      <c r="S15" s="143"/>
      <c r="T15" s="78"/>
    </row>
    <row r="16" spans="1:20">
      <c r="B16" s="162" t="s">
        <v>172</v>
      </c>
      <c r="C16" s="156"/>
      <c r="D16" s="156"/>
      <c r="E16" s="152" t="str">
        <f>E10</f>
        <v>※６５歳以上（～S36.1.1生）のみ入力</v>
      </c>
      <c r="F16" s="152"/>
      <c r="G16" s="152"/>
      <c r="H16" s="156"/>
      <c r="J16" s="78"/>
      <c r="K16" s="78"/>
      <c r="L16" s="78"/>
      <c r="M16" s="78"/>
      <c r="N16" s="78"/>
      <c r="O16" s="78"/>
      <c r="P16" s="78"/>
      <c r="Q16" s="78"/>
      <c r="R16" s="78"/>
      <c r="S16" s="78"/>
      <c r="T16" s="78"/>
    </row>
    <row r="17" spans="2:20" ht="13.15" customHeight="1">
      <c r="B17" s="203"/>
      <c r="C17" s="213" t="s">
        <v>105</v>
      </c>
      <c r="D17" s="221" t="str">
        <f>IF(D11=0,"",D11)</f>
        <v/>
      </c>
      <c r="E17" s="221" t="str">
        <f>IF(E11=0,"",E11)</f>
        <v/>
      </c>
      <c r="F17" s="221" t="str">
        <f>IF(F11=0,"",F11)</f>
        <v/>
      </c>
      <c r="G17" s="221">
        <f>G11</f>
        <v>0</v>
      </c>
      <c r="H17" s="221">
        <f>IFERROR(H11,0)</f>
        <v>0</v>
      </c>
      <c r="J17" s="78"/>
      <c r="K17" s="78"/>
      <c r="L17" s="78"/>
      <c r="M17" s="78"/>
      <c r="N17" s="78"/>
      <c r="O17" s="78"/>
      <c r="P17" s="78"/>
      <c r="Q17" s="78"/>
      <c r="R17" s="78"/>
      <c r="S17" s="78"/>
      <c r="T17" s="78"/>
    </row>
    <row r="18" spans="2:20" ht="13.15" customHeight="1">
      <c r="B18" s="204"/>
      <c r="C18" s="214"/>
      <c r="D18" s="221"/>
      <c r="E18" s="221"/>
      <c r="F18" s="221"/>
      <c r="G18" s="221"/>
      <c r="H18" s="221"/>
      <c r="J18" s="78"/>
      <c r="K18" s="78"/>
      <c r="L18" s="78"/>
      <c r="M18" s="78"/>
      <c r="N18" s="78"/>
      <c r="O18" s="78"/>
      <c r="P18" s="78"/>
      <c r="Q18" s="78"/>
      <c r="R18" s="78"/>
      <c r="S18" s="78"/>
      <c r="T18" s="78"/>
    </row>
    <row r="19" spans="2:20" ht="13.15" customHeight="1">
      <c r="B19" s="203"/>
      <c r="C19" s="213" t="s">
        <v>291</v>
      </c>
      <c r="D19" s="222"/>
      <c r="E19" s="204"/>
      <c r="F19" s="203"/>
      <c r="G19" s="221">
        <f>IF(D19&gt;0,IF(E19&gt;0,MIN(E19,150000),0),0)</f>
        <v>0</v>
      </c>
      <c r="H19" s="221">
        <f>IFERROR(IF(B19="○",D19-G19,0),0)</f>
        <v>0</v>
      </c>
      <c r="J19" s="78"/>
      <c r="K19" s="78"/>
      <c r="L19" s="78"/>
      <c r="M19" s="78"/>
      <c r="N19" s="78"/>
      <c r="O19" s="78"/>
      <c r="P19" s="78"/>
      <c r="Q19" s="78"/>
      <c r="R19" s="78"/>
      <c r="S19" s="78"/>
      <c r="T19" s="78"/>
    </row>
    <row r="20" spans="2:20" ht="13.15" customHeight="1">
      <c r="B20" s="204"/>
      <c r="C20" s="214"/>
      <c r="D20" s="222"/>
      <c r="E20" s="204"/>
      <c r="F20" s="204"/>
      <c r="G20" s="221"/>
      <c r="H20" s="221"/>
      <c r="J20" s="78"/>
      <c r="K20" s="78"/>
      <c r="L20" s="78"/>
      <c r="M20" s="78"/>
      <c r="N20" s="78"/>
      <c r="O20" s="78"/>
      <c r="P20" s="78"/>
      <c r="Q20" s="78"/>
      <c r="R20" s="78"/>
      <c r="S20" s="78"/>
      <c r="T20" s="78"/>
    </row>
    <row r="21" spans="2:20" ht="13.15" customHeight="1">
      <c r="B21" s="203"/>
      <c r="C21" s="213" t="s">
        <v>292</v>
      </c>
      <c r="D21" s="222"/>
      <c r="E21" s="204"/>
      <c r="F21" s="203"/>
      <c r="G21" s="221">
        <f>IF(D21&gt;0,IF(E21&gt;0,MIN(E21,150000),0),0)</f>
        <v>0</v>
      </c>
      <c r="H21" s="221">
        <f>IFERROR(IF(B21="○",D21-G21,0),0)</f>
        <v>0</v>
      </c>
      <c r="J21" s="78"/>
      <c r="K21" s="78"/>
      <c r="L21" s="78"/>
      <c r="M21" s="78"/>
      <c r="N21" s="78"/>
      <c r="O21" s="78"/>
      <c r="P21" s="78"/>
      <c r="Q21" s="78"/>
      <c r="R21" s="78"/>
      <c r="S21" s="78"/>
      <c r="T21" s="78"/>
    </row>
    <row r="22" spans="2:20" ht="13.15" customHeight="1">
      <c r="B22" s="204"/>
      <c r="C22" s="214"/>
      <c r="D22" s="222"/>
      <c r="E22" s="204"/>
      <c r="F22" s="204"/>
      <c r="G22" s="221"/>
      <c r="H22" s="221"/>
      <c r="J22" s="78"/>
      <c r="K22" s="78"/>
      <c r="L22" s="78"/>
      <c r="M22" s="78"/>
      <c r="N22" s="78"/>
      <c r="O22" s="78"/>
      <c r="P22" s="78"/>
      <c r="Q22" s="78"/>
      <c r="R22" s="78"/>
      <c r="S22" s="78"/>
      <c r="T22" s="78"/>
    </row>
    <row r="23" spans="2:20" ht="13.15" customHeight="1">
      <c r="B23" s="203"/>
      <c r="C23" s="213" t="s">
        <v>294</v>
      </c>
      <c r="D23" s="222"/>
      <c r="E23" s="204"/>
      <c r="F23" s="203"/>
      <c r="G23" s="221">
        <f>IF(D23&gt;0,IF(E23&gt;0,MIN(E23,150000),0),0)</f>
        <v>0</v>
      </c>
      <c r="H23" s="221">
        <f>IFERROR(IF(B23="○",D23-G23,0),0)</f>
        <v>0</v>
      </c>
      <c r="J23" s="78"/>
      <c r="K23" s="78"/>
      <c r="L23" s="78"/>
      <c r="M23" s="78"/>
      <c r="N23" s="78"/>
      <c r="O23" s="78"/>
      <c r="P23" s="78"/>
      <c r="Q23" s="78"/>
      <c r="R23" s="78"/>
      <c r="S23" s="78"/>
      <c r="T23" s="78"/>
    </row>
    <row r="24" spans="2:20" ht="13.15" customHeight="1">
      <c r="B24" s="204"/>
      <c r="C24" s="214"/>
      <c r="D24" s="222"/>
      <c r="E24" s="204"/>
      <c r="F24" s="204"/>
      <c r="G24" s="221"/>
      <c r="H24" s="221"/>
      <c r="J24" s="78"/>
      <c r="K24" s="78"/>
      <c r="L24" s="78"/>
      <c r="M24" s="78"/>
      <c r="N24" s="78"/>
      <c r="O24" s="78"/>
      <c r="P24" s="78"/>
      <c r="Q24" s="78"/>
      <c r="R24" s="78"/>
      <c r="S24" s="78"/>
      <c r="T24" s="78"/>
    </row>
    <row r="25" spans="2:20" ht="13.15" customHeight="1">
      <c r="B25" s="203"/>
      <c r="C25" s="213" t="s">
        <v>296</v>
      </c>
      <c r="D25" s="222"/>
      <c r="E25" s="204"/>
      <c r="F25" s="203"/>
      <c r="G25" s="221">
        <f>IF(D25&gt;0,IF(E25&gt;0,MIN(E25,150000),0),0)</f>
        <v>0</v>
      </c>
      <c r="H25" s="221">
        <f>IFERROR(IF(B25="○",D25-G25,0),0)</f>
        <v>0</v>
      </c>
      <c r="J25" s="78"/>
      <c r="K25" s="237"/>
      <c r="L25" s="237"/>
      <c r="M25" s="237"/>
      <c r="N25" s="237"/>
      <c r="O25" s="237"/>
      <c r="P25" s="237"/>
      <c r="Q25" s="237"/>
      <c r="R25" s="237"/>
      <c r="S25" s="110"/>
      <c r="T25" s="78"/>
    </row>
    <row r="26" spans="2:20" ht="13.15" customHeight="1">
      <c r="B26" s="204"/>
      <c r="C26" s="214"/>
      <c r="D26" s="222"/>
      <c r="E26" s="204"/>
      <c r="F26" s="204"/>
      <c r="G26" s="221"/>
      <c r="H26" s="221"/>
      <c r="J26" s="78"/>
      <c r="K26" s="234" t="s">
        <v>162</v>
      </c>
      <c r="L26" s="234"/>
      <c r="M26" s="237"/>
      <c r="N26" s="237"/>
      <c r="O26" s="237"/>
      <c r="P26" s="237"/>
      <c r="Q26" s="237"/>
      <c r="R26" s="237"/>
      <c r="S26" s="110"/>
      <c r="T26" s="78"/>
    </row>
    <row r="27" spans="2:20" ht="13.15" customHeight="1">
      <c r="B27" s="205" t="str">
        <f>簡易試算シート!B8</f>
        <v/>
      </c>
      <c r="C27" s="154" t="s">
        <v>81</v>
      </c>
      <c r="D27" s="223">
        <f>簡易試算シート!H8</f>
        <v>0</v>
      </c>
      <c r="E27" s="223">
        <f>簡易試算シート!I8</f>
        <v>0</v>
      </c>
      <c r="F27" s="223">
        <f>簡易試算シート!J8</f>
        <v>0</v>
      </c>
      <c r="G27" s="223">
        <f>IF(D27&gt;0,IF(E27&gt;0,MIN(E27,150000),0),0)</f>
        <v>0</v>
      </c>
      <c r="H27" s="223">
        <f>IFERROR(IF(B27="○",D27-G27,0),0)</f>
        <v>0</v>
      </c>
      <c r="J27" s="78"/>
      <c r="K27" s="234"/>
      <c r="L27" s="234"/>
      <c r="M27" s="237"/>
      <c r="N27" s="237"/>
      <c r="O27" s="237"/>
      <c r="P27" s="237"/>
      <c r="Q27" s="237"/>
      <c r="R27" s="237"/>
      <c r="S27" s="110"/>
      <c r="T27" s="78"/>
    </row>
    <row r="28" spans="2:20" ht="13.15" customHeight="1">
      <c r="B28" s="206"/>
      <c r="C28" s="154"/>
      <c r="D28" s="223"/>
      <c r="E28" s="223"/>
      <c r="F28" s="223"/>
      <c r="G28" s="223"/>
      <c r="H28" s="223"/>
      <c r="J28" s="78"/>
      <c r="K28" s="238" t="s">
        <v>309</v>
      </c>
      <c r="L28" s="238"/>
      <c r="M28" s="238"/>
      <c r="N28" s="238"/>
      <c r="O28" s="238"/>
      <c r="P28" s="238"/>
      <c r="Q28" s="238"/>
      <c r="R28" s="238"/>
      <c r="S28" s="238"/>
      <c r="T28" s="78"/>
    </row>
    <row r="29" spans="2:20" ht="13.15" customHeight="1">
      <c r="B29" s="205" t="str">
        <f>簡易試算シート!B10</f>
        <v/>
      </c>
      <c r="C29" s="154" t="s">
        <v>82</v>
      </c>
      <c r="D29" s="223">
        <f>簡易試算シート!H10</f>
        <v>0</v>
      </c>
      <c r="E29" s="223">
        <f>簡易試算シート!I10</f>
        <v>0</v>
      </c>
      <c r="F29" s="223">
        <f>簡易試算シート!J10</f>
        <v>0</v>
      </c>
      <c r="G29" s="223">
        <f>IF(D29&gt;0,IF(E29&gt;0,MIN(E29,150000),0),0)</f>
        <v>0</v>
      </c>
      <c r="H29" s="223">
        <f>IFERROR(IF(B29="○",D29-G29,0),0)</f>
        <v>0</v>
      </c>
      <c r="J29" s="78"/>
      <c r="K29" s="238"/>
      <c r="L29" s="238"/>
      <c r="M29" s="238"/>
      <c r="N29" s="238"/>
      <c r="O29" s="238"/>
      <c r="P29" s="238"/>
      <c r="Q29" s="238"/>
      <c r="R29" s="238"/>
      <c r="S29" s="238"/>
      <c r="T29" s="78"/>
    </row>
    <row r="30" spans="2:20" ht="13.15" customHeight="1">
      <c r="B30" s="206"/>
      <c r="C30" s="154"/>
      <c r="D30" s="223"/>
      <c r="E30" s="223"/>
      <c r="F30" s="223"/>
      <c r="G30" s="223"/>
      <c r="H30" s="223"/>
      <c r="J30" s="78"/>
      <c r="K30" s="238"/>
      <c r="L30" s="238"/>
      <c r="M30" s="238"/>
      <c r="N30" s="238"/>
      <c r="O30" s="238"/>
      <c r="P30" s="238"/>
      <c r="Q30" s="238"/>
      <c r="R30" s="238"/>
      <c r="S30" s="238"/>
      <c r="T30" s="78"/>
    </row>
    <row r="31" spans="2:20" ht="13.15" customHeight="1">
      <c r="B31" s="205" t="str">
        <f>簡易試算シート!B12</f>
        <v/>
      </c>
      <c r="C31" s="154" t="s">
        <v>83</v>
      </c>
      <c r="D31" s="223">
        <f>簡易試算シート!H12</f>
        <v>0</v>
      </c>
      <c r="E31" s="223">
        <f>簡易試算シート!I12</f>
        <v>0</v>
      </c>
      <c r="F31" s="223">
        <f>簡易試算シート!J12</f>
        <v>0</v>
      </c>
      <c r="G31" s="223">
        <f>IF(D31&gt;0,IF(E31&gt;0,MIN(E31,150000),0),0)</f>
        <v>0</v>
      </c>
      <c r="H31" s="223">
        <f>IFERROR(IF(B31="○",D31-G31,0),0)</f>
        <v>0</v>
      </c>
      <c r="J31" s="78"/>
      <c r="K31" s="238"/>
      <c r="L31" s="238"/>
      <c r="M31" s="238"/>
      <c r="N31" s="238"/>
      <c r="O31" s="238"/>
      <c r="P31" s="238"/>
      <c r="Q31" s="238"/>
      <c r="R31" s="238"/>
      <c r="S31" s="238"/>
      <c r="T31" s="78"/>
    </row>
    <row r="32" spans="2:20" ht="13.15" customHeight="1">
      <c r="B32" s="206"/>
      <c r="C32" s="154"/>
      <c r="D32" s="223"/>
      <c r="E32" s="223"/>
      <c r="F32" s="223"/>
      <c r="G32" s="223"/>
      <c r="H32" s="223"/>
      <c r="J32" s="78"/>
      <c r="K32" s="238"/>
      <c r="L32" s="238"/>
      <c r="M32" s="238"/>
      <c r="N32" s="238"/>
      <c r="O32" s="238"/>
      <c r="P32" s="238"/>
      <c r="Q32" s="238"/>
      <c r="R32" s="238"/>
      <c r="S32" s="238"/>
      <c r="T32" s="78"/>
    </row>
    <row r="33" spans="2:20" ht="13.15" customHeight="1">
      <c r="B33" s="205" t="str">
        <f>簡易試算シート!B14</f>
        <v/>
      </c>
      <c r="C33" s="154" t="s">
        <v>84</v>
      </c>
      <c r="D33" s="223">
        <f>簡易試算シート!H14</f>
        <v>0</v>
      </c>
      <c r="E33" s="223">
        <f>簡易試算シート!I14</f>
        <v>0</v>
      </c>
      <c r="F33" s="223">
        <f>簡易試算シート!J14</f>
        <v>0</v>
      </c>
      <c r="G33" s="223">
        <f>IF(D33&gt;0,IF(E33&gt;0,MIN(E33,150000),0),0)</f>
        <v>0</v>
      </c>
      <c r="H33" s="223">
        <f>IFERROR(IF(B33="○",D33-G33,0),0)</f>
        <v>0</v>
      </c>
      <c r="J33" s="78"/>
      <c r="K33" s="238"/>
      <c r="L33" s="238"/>
      <c r="M33" s="238"/>
      <c r="N33" s="238"/>
      <c r="O33" s="238"/>
      <c r="P33" s="238"/>
      <c r="Q33" s="238"/>
      <c r="R33" s="238"/>
      <c r="S33" s="238"/>
      <c r="T33" s="78"/>
    </row>
    <row r="34" spans="2:20" ht="13.15" customHeight="1">
      <c r="B34" s="206"/>
      <c r="C34" s="154"/>
      <c r="D34" s="223"/>
      <c r="E34" s="223"/>
      <c r="F34" s="223"/>
      <c r="G34" s="223"/>
      <c r="H34" s="223"/>
      <c r="J34" s="78"/>
      <c r="K34" s="238"/>
      <c r="L34" s="238"/>
      <c r="M34" s="238"/>
      <c r="N34" s="238"/>
      <c r="O34" s="238"/>
      <c r="P34" s="238"/>
      <c r="Q34" s="238"/>
      <c r="R34" s="238"/>
      <c r="S34" s="238"/>
      <c r="T34" s="78"/>
    </row>
    <row r="35" spans="2:20" ht="13.15" customHeight="1">
      <c r="B35" s="205" t="str">
        <f>簡易試算シート!B16</f>
        <v/>
      </c>
      <c r="C35" s="154" t="s">
        <v>86</v>
      </c>
      <c r="D35" s="223">
        <f>簡易試算シート!H16</f>
        <v>0</v>
      </c>
      <c r="E35" s="223">
        <f>簡易試算シート!I16</f>
        <v>0</v>
      </c>
      <c r="F35" s="223">
        <f>簡易試算シート!J16</f>
        <v>0</v>
      </c>
      <c r="G35" s="223">
        <f>IF(D35&gt;0,IF(E35&gt;0,MIN(E35,150000),0),0)</f>
        <v>0</v>
      </c>
      <c r="H35" s="223">
        <f>IFERROR(IF(B35="○",D35-G35,0),0)</f>
        <v>0</v>
      </c>
      <c r="J35" s="78"/>
      <c r="K35" s="238"/>
      <c r="L35" s="238"/>
      <c r="M35" s="238"/>
      <c r="N35" s="238"/>
      <c r="O35" s="238"/>
      <c r="P35" s="238"/>
      <c r="Q35" s="238"/>
      <c r="R35" s="238"/>
      <c r="S35" s="238"/>
      <c r="T35" s="78"/>
    </row>
    <row r="36" spans="2:20" ht="13.15" customHeight="1">
      <c r="B36" s="206"/>
      <c r="C36" s="154"/>
      <c r="D36" s="223"/>
      <c r="E36" s="223"/>
      <c r="F36" s="223"/>
      <c r="G36" s="223"/>
      <c r="H36" s="223"/>
      <c r="J36" s="78"/>
      <c r="K36" s="238"/>
      <c r="L36" s="238"/>
      <c r="M36" s="238"/>
      <c r="N36" s="238"/>
      <c r="O36" s="238"/>
      <c r="P36" s="238"/>
      <c r="Q36" s="238"/>
      <c r="R36" s="238"/>
      <c r="S36" s="238"/>
      <c r="T36" s="78"/>
    </row>
    <row r="37" spans="2:20" ht="13.15" customHeight="1">
      <c r="B37" s="205" t="str">
        <f>簡易試算シート!B18</f>
        <v/>
      </c>
      <c r="C37" s="154" t="s">
        <v>87</v>
      </c>
      <c r="D37" s="223">
        <f>簡易試算シート!H18</f>
        <v>0</v>
      </c>
      <c r="E37" s="223">
        <f>簡易試算シート!I18</f>
        <v>0</v>
      </c>
      <c r="F37" s="223">
        <f>簡易試算シート!J18</f>
        <v>0</v>
      </c>
      <c r="G37" s="223">
        <f>IF(D37&gt;0,IF(E37&gt;0,MIN(E37,150000),0),0)</f>
        <v>0</v>
      </c>
      <c r="H37" s="223">
        <f>IFERROR(IF(B37="○",D37-G37,0),0)</f>
        <v>0</v>
      </c>
      <c r="J37" s="78"/>
      <c r="K37" s="238"/>
      <c r="L37" s="238"/>
      <c r="M37" s="238"/>
      <c r="N37" s="238"/>
      <c r="O37" s="238"/>
      <c r="P37" s="238"/>
      <c r="Q37" s="238"/>
      <c r="R37" s="238"/>
      <c r="S37" s="238"/>
      <c r="T37" s="78"/>
    </row>
    <row r="38" spans="2:20" ht="13.15" customHeight="1">
      <c r="B38" s="206"/>
      <c r="C38" s="154"/>
      <c r="D38" s="223"/>
      <c r="E38" s="223"/>
      <c r="F38" s="223"/>
      <c r="G38" s="223"/>
      <c r="H38" s="223"/>
      <c r="J38" s="78"/>
      <c r="K38" s="238"/>
      <c r="L38" s="238"/>
      <c r="M38" s="238"/>
      <c r="N38" s="238"/>
      <c r="O38" s="238"/>
      <c r="P38" s="238"/>
      <c r="Q38" s="238"/>
      <c r="R38" s="238"/>
      <c r="S38" s="238"/>
      <c r="T38" s="78"/>
    </row>
    <row r="39" spans="2:20" ht="13.15" customHeight="1">
      <c r="B39" s="205" t="str">
        <f>簡易試算シート!B20</f>
        <v/>
      </c>
      <c r="C39" s="154" t="s">
        <v>89</v>
      </c>
      <c r="D39" s="223">
        <f>簡易試算シート!H20</f>
        <v>0</v>
      </c>
      <c r="E39" s="223">
        <f>簡易試算シート!I20</f>
        <v>0</v>
      </c>
      <c r="F39" s="223">
        <f>簡易試算シート!J20</f>
        <v>0</v>
      </c>
      <c r="G39" s="223">
        <f>IF(D39&gt;0,IF(E39&gt;0,MIN(E39,150000),0),0)</f>
        <v>0</v>
      </c>
      <c r="H39" s="223">
        <f>IFERROR(IF(B39="○",D39-G39,0),0)</f>
        <v>0</v>
      </c>
      <c r="J39" s="78"/>
      <c r="K39" s="238"/>
      <c r="L39" s="238"/>
      <c r="M39" s="238"/>
      <c r="N39" s="238"/>
      <c r="O39" s="238"/>
      <c r="P39" s="238"/>
      <c r="Q39" s="238"/>
      <c r="R39" s="238"/>
      <c r="S39" s="238"/>
      <c r="T39" s="78"/>
    </row>
    <row r="40" spans="2:20" ht="13.15" customHeight="1">
      <c r="B40" s="206"/>
      <c r="C40" s="154"/>
      <c r="D40" s="223"/>
      <c r="E40" s="223"/>
      <c r="F40" s="223"/>
      <c r="G40" s="223"/>
      <c r="H40" s="223"/>
      <c r="J40" s="78"/>
      <c r="K40" s="238"/>
      <c r="L40" s="238"/>
      <c r="M40" s="238"/>
      <c r="N40" s="238"/>
      <c r="O40" s="238"/>
      <c r="P40" s="238"/>
      <c r="Q40" s="238"/>
      <c r="R40" s="238"/>
      <c r="S40" s="238"/>
      <c r="T40" s="78"/>
    </row>
    <row r="41" spans="2:20" ht="13.15" customHeight="1">
      <c r="B41" s="205" t="str">
        <f>簡易試算シート!B22</f>
        <v/>
      </c>
      <c r="C41" s="154" t="s">
        <v>91</v>
      </c>
      <c r="D41" s="223">
        <f>簡易試算シート!H22</f>
        <v>0</v>
      </c>
      <c r="E41" s="223">
        <f>簡易試算シート!I22</f>
        <v>0</v>
      </c>
      <c r="F41" s="223">
        <f>簡易試算シート!J22</f>
        <v>0</v>
      </c>
      <c r="G41" s="223">
        <f>IF(D41&gt;0,IF(E41&gt;0,MIN(E41,150000),0),0)</f>
        <v>0</v>
      </c>
      <c r="H41" s="223">
        <f>IFERROR(IF(B41="○",D41-G41,0),0)</f>
        <v>0</v>
      </c>
      <c r="J41" s="78"/>
      <c r="K41" s="238"/>
      <c r="L41" s="238"/>
      <c r="M41" s="238"/>
      <c r="N41" s="238"/>
      <c r="O41" s="238"/>
      <c r="P41" s="238"/>
      <c r="Q41" s="238"/>
      <c r="R41" s="238"/>
      <c r="S41" s="238"/>
      <c r="T41" s="78"/>
    </row>
    <row r="42" spans="2:20" ht="13.15" customHeight="1">
      <c r="B42" s="206"/>
      <c r="C42" s="154"/>
      <c r="D42" s="223"/>
      <c r="E42" s="223"/>
      <c r="F42" s="223"/>
      <c r="G42" s="223"/>
      <c r="H42" s="223"/>
      <c r="J42" s="78"/>
      <c r="K42" s="238"/>
      <c r="L42" s="238"/>
      <c r="M42" s="238"/>
      <c r="N42" s="238"/>
      <c r="O42" s="238"/>
      <c r="P42" s="238"/>
      <c r="Q42" s="238"/>
      <c r="R42" s="238"/>
      <c r="S42" s="238"/>
      <c r="T42" s="78"/>
    </row>
    <row r="43" spans="2:20" ht="13.15" customHeight="1">
      <c r="B43" s="203"/>
      <c r="C43" s="214" t="s">
        <v>195</v>
      </c>
      <c r="D43" s="222"/>
      <c r="E43" s="204"/>
      <c r="F43" s="203"/>
      <c r="G43" s="221">
        <f>IF(D43&gt;0,IF(E43&gt;0,MIN(E43,150000),0),0)</f>
        <v>0</v>
      </c>
      <c r="H43" s="221">
        <f>IFERROR(IF(B43="○",D43-G43,0),0)</f>
        <v>0</v>
      </c>
      <c r="I43" s="233"/>
      <c r="J43" s="78"/>
      <c r="K43" s="238"/>
      <c r="L43" s="238"/>
      <c r="M43" s="238"/>
      <c r="N43" s="238"/>
      <c r="O43" s="238"/>
      <c r="P43" s="238"/>
      <c r="Q43" s="238"/>
      <c r="R43" s="238"/>
      <c r="S43" s="238"/>
      <c r="T43" s="78"/>
    </row>
    <row r="44" spans="2:20" ht="13.15" customHeight="1">
      <c r="B44" s="204"/>
      <c r="C44" s="214"/>
      <c r="D44" s="222"/>
      <c r="E44" s="204"/>
      <c r="F44" s="204"/>
      <c r="G44" s="221"/>
      <c r="H44" s="221"/>
      <c r="I44" s="233"/>
      <c r="J44" s="78"/>
      <c r="K44" s="238"/>
      <c r="L44" s="238"/>
      <c r="M44" s="238"/>
      <c r="N44" s="238"/>
      <c r="O44" s="238"/>
      <c r="P44" s="238"/>
      <c r="Q44" s="238"/>
      <c r="R44" s="238"/>
      <c r="S44" s="238"/>
      <c r="T44" s="78"/>
    </row>
    <row r="45" spans="2:20" ht="13.15" customHeight="1">
      <c r="B45" s="203"/>
      <c r="C45" s="214" t="s">
        <v>196</v>
      </c>
      <c r="D45" s="222"/>
      <c r="E45" s="204"/>
      <c r="F45" s="203"/>
      <c r="G45" s="221">
        <f>IF(D45&gt;0,IF(E45&gt;0,MIN(E45,150000),0),0)</f>
        <v>0</v>
      </c>
      <c r="H45" s="221">
        <f>IFERROR(IF(B45="○",D45-G45,0),0)</f>
        <v>0</v>
      </c>
      <c r="J45" s="78"/>
      <c r="K45" s="238"/>
      <c r="L45" s="238"/>
      <c r="M45" s="238"/>
      <c r="N45" s="238"/>
      <c r="O45" s="238"/>
      <c r="P45" s="238"/>
      <c r="Q45" s="238"/>
      <c r="R45" s="238"/>
      <c r="S45" s="238"/>
      <c r="T45" s="78"/>
    </row>
    <row r="46" spans="2:20" ht="13.15" customHeight="1">
      <c r="B46" s="204"/>
      <c r="C46" s="214"/>
      <c r="D46" s="222"/>
      <c r="E46" s="204"/>
      <c r="F46" s="204"/>
      <c r="G46" s="221"/>
      <c r="H46" s="221"/>
      <c r="J46" s="78"/>
      <c r="K46" s="238"/>
      <c r="L46" s="238"/>
      <c r="M46" s="238"/>
      <c r="N46" s="238"/>
      <c r="O46" s="238"/>
      <c r="P46" s="238"/>
      <c r="Q46" s="238"/>
      <c r="R46" s="238"/>
      <c r="S46" s="238"/>
      <c r="T46" s="78"/>
    </row>
    <row r="47" spans="2:20" ht="13.15" customHeight="1">
      <c r="B47" s="203"/>
      <c r="C47" s="214" t="s">
        <v>197</v>
      </c>
      <c r="D47" s="222"/>
      <c r="E47" s="204"/>
      <c r="F47" s="203"/>
      <c r="G47" s="221">
        <f>IF(D47&gt;0,IF(E47&gt;0,MIN(E47,150000),0),0)</f>
        <v>0</v>
      </c>
      <c r="H47" s="221">
        <f>IFERROR(IF(B47="○",D47-G47,0),0)</f>
        <v>0</v>
      </c>
      <c r="J47" s="78"/>
      <c r="K47" s="238"/>
      <c r="L47" s="238"/>
      <c r="M47" s="238"/>
      <c r="N47" s="238"/>
      <c r="O47" s="238"/>
      <c r="P47" s="238"/>
      <c r="Q47" s="238"/>
      <c r="R47" s="238"/>
      <c r="S47" s="238"/>
      <c r="T47" s="78"/>
    </row>
    <row r="48" spans="2:20" ht="13.15" customHeight="1">
      <c r="B48" s="204"/>
      <c r="C48" s="214"/>
      <c r="D48" s="222"/>
      <c r="E48" s="204"/>
      <c r="F48" s="204"/>
      <c r="G48" s="221"/>
      <c r="H48" s="221"/>
      <c r="J48" s="78"/>
      <c r="K48" s="238"/>
      <c r="L48" s="238"/>
      <c r="M48" s="238"/>
      <c r="N48" s="238"/>
      <c r="O48" s="238"/>
      <c r="P48" s="238"/>
      <c r="Q48" s="238"/>
      <c r="R48" s="238"/>
      <c r="S48" s="238"/>
      <c r="T48" s="78"/>
    </row>
    <row r="49" spans="2:20" ht="13.15" customHeight="1">
      <c r="B49" s="203"/>
      <c r="C49" s="214" t="s">
        <v>198</v>
      </c>
      <c r="D49" s="222"/>
      <c r="E49" s="204"/>
      <c r="F49" s="203"/>
      <c r="G49" s="221">
        <f>IF(D49&gt;0,IF(E49&gt;0,MIN(E49,150000),0),0)</f>
        <v>0</v>
      </c>
      <c r="H49" s="221">
        <f>IFERROR(IF(B49="○",D49-G49,0),0)</f>
        <v>0</v>
      </c>
      <c r="J49" s="78"/>
      <c r="K49" s="238"/>
      <c r="L49" s="238"/>
      <c r="M49" s="238"/>
      <c r="N49" s="238"/>
      <c r="O49" s="238"/>
      <c r="P49" s="238"/>
      <c r="Q49" s="238"/>
      <c r="R49" s="238"/>
      <c r="S49" s="238"/>
      <c r="T49" s="78"/>
    </row>
    <row r="50" spans="2:20" ht="13.15" customHeight="1">
      <c r="B50" s="204"/>
      <c r="C50" s="214"/>
      <c r="D50" s="222"/>
      <c r="E50" s="204"/>
      <c r="F50" s="204"/>
      <c r="G50" s="221"/>
      <c r="H50" s="221"/>
      <c r="J50" s="78"/>
      <c r="K50" s="78"/>
      <c r="L50" s="78"/>
      <c r="M50" s="78"/>
      <c r="N50" s="78"/>
      <c r="O50" s="78"/>
      <c r="P50" s="78"/>
      <c r="Q50" s="78"/>
      <c r="R50" s="78"/>
      <c r="S50" s="78"/>
      <c r="T50" s="78"/>
    </row>
    <row r="51" spans="2:20" ht="13.15" customHeight="1">
      <c r="B51" s="203"/>
      <c r="C51" s="214" t="s">
        <v>199</v>
      </c>
      <c r="D51" s="222"/>
      <c r="E51" s="204"/>
      <c r="F51" s="203"/>
      <c r="G51" s="221">
        <f>IF(D51&gt;0,IF(E51&gt;0,MIN(E51,150000),0),0)</f>
        <v>0</v>
      </c>
      <c r="H51" s="221">
        <f>IFERROR(IF(B51="○",D51-G51,0),0)</f>
        <v>0</v>
      </c>
      <c r="J51" s="78"/>
      <c r="K51" s="78"/>
      <c r="L51" s="78"/>
      <c r="M51" s="78"/>
      <c r="N51" s="78"/>
      <c r="O51" s="78"/>
      <c r="P51" s="78"/>
      <c r="Q51" s="78"/>
      <c r="R51" s="78"/>
      <c r="S51" s="78"/>
      <c r="T51" s="78"/>
    </row>
    <row r="52" spans="2:20" ht="13.15" customHeight="1">
      <c r="B52" s="204"/>
      <c r="C52" s="214"/>
      <c r="D52" s="222"/>
      <c r="E52" s="204"/>
      <c r="F52" s="204"/>
      <c r="G52" s="221"/>
      <c r="H52" s="221"/>
    </row>
    <row r="53" spans="2:20" ht="13.15" customHeight="1">
      <c r="B53" s="203"/>
      <c r="C53" s="214" t="s">
        <v>201</v>
      </c>
      <c r="D53" s="222"/>
      <c r="E53" s="204"/>
      <c r="F53" s="203"/>
      <c r="G53" s="221">
        <f>IF(D53&gt;0,IF(E53&gt;0,MIN(E53,150000),0),0)</f>
        <v>0</v>
      </c>
      <c r="H53" s="221">
        <f>IFERROR(IF(B53="○",D53-G53,0),0)</f>
        <v>0</v>
      </c>
    </row>
    <row r="54" spans="2:20" ht="13.15" customHeight="1">
      <c r="B54" s="204"/>
      <c r="C54" s="214"/>
      <c r="D54" s="222"/>
      <c r="E54" s="204"/>
      <c r="F54" s="204"/>
      <c r="G54" s="221"/>
      <c r="H54" s="221"/>
    </row>
    <row r="55" spans="2:20" ht="13.15" customHeight="1">
      <c r="B55" s="203"/>
      <c r="C55" s="214" t="s">
        <v>203</v>
      </c>
      <c r="D55" s="222"/>
      <c r="E55" s="204"/>
      <c r="F55" s="203"/>
      <c r="G55" s="221">
        <f>IF(D55&gt;0,IF(E55&gt;0,MIN(E55,150000),0),0)</f>
        <v>0</v>
      </c>
      <c r="H55" s="221">
        <f>IFERROR(IF(B55="○",D55-G55,0),0)</f>
        <v>0</v>
      </c>
    </row>
    <row r="56" spans="2:20" ht="13.15" customHeight="1">
      <c r="B56" s="204"/>
      <c r="C56" s="214"/>
      <c r="D56" s="222"/>
      <c r="E56" s="204"/>
      <c r="F56" s="204"/>
      <c r="G56" s="221"/>
      <c r="H56" s="221"/>
    </row>
    <row r="57" spans="2:20" ht="13.15" customHeight="1">
      <c r="B57" s="203"/>
      <c r="C57" s="214" t="s">
        <v>204</v>
      </c>
      <c r="D57" s="222"/>
      <c r="E57" s="204"/>
      <c r="F57" s="203"/>
      <c r="G57" s="221">
        <f>IF(D57&gt;0,IF(E57&gt;0,MIN(E57,150000),0),0)</f>
        <v>0</v>
      </c>
      <c r="H57" s="221">
        <f>IFERROR(IF(B57="○",D57-G57,0),0)</f>
        <v>0</v>
      </c>
    </row>
    <row r="58" spans="2:20" ht="13.15" customHeight="1">
      <c r="B58" s="204"/>
      <c r="C58" s="214"/>
      <c r="D58" s="222"/>
      <c r="E58" s="204"/>
      <c r="F58" s="204"/>
      <c r="G58" s="221"/>
      <c r="H58" s="221"/>
    </row>
    <row r="59" spans="2:20" ht="20.25" customHeight="1">
      <c r="H59" s="229"/>
    </row>
  </sheetData>
  <mergeCells count="173">
    <mergeCell ref="K2:L2"/>
    <mergeCell ref="O5:P5"/>
    <mergeCell ref="B6:H6"/>
    <mergeCell ref="M6:N6"/>
    <mergeCell ref="N9:P9"/>
    <mergeCell ref="D14:E14"/>
    <mergeCell ref="C1:C2"/>
    <mergeCell ref="D1:E2"/>
    <mergeCell ref="B9:C10"/>
    <mergeCell ref="D9:D10"/>
    <mergeCell ref="F9:F10"/>
    <mergeCell ref="G9:G10"/>
    <mergeCell ref="H9:H10"/>
    <mergeCell ref="B11:C12"/>
    <mergeCell ref="D11:D12"/>
    <mergeCell ref="E11:E12"/>
    <mergeCell ref="F11:F12"/>
    <mergeCell ref="G11:G12"/>
    <mergeCell ref="H11:H12"/>
    <mergeCell ref="C15:C16"/>
    <mergeCell ref="D15:D16"/>
    <mergeCell ref="F15:F16"/>
    <mergeCell ref="G15:G16"/>
    <mergeCell ref="H15:H16"/>
    <mergeCell ref="B17:B18"/>
    <mergeCell ref="C17:C18"/>
    <mergeCell ref="D17:D18"/>
    <mergeCell ref="E17:E18"/>
    <mergeCell ref="F17:F18"/>
    <mergeCell ref="G17:G18"/>
    <mergeCell ref="H17:H18"/>
    <mergeCell ref="B19:B20"/>
    <mergeCell ref="C19:C20"/>
    <mergeCell ref="D19:D20"/>
    <mergeCell ref="E19:E20"/>
    <mergeCell ref="F19:F20"/>
    <mergeCell ref="G19:G20"/>
    <mergeCell ref="H19:H20"/>
    <mergeCell ref="B21:B22"/>
    <mergeCell ref="C21:C22"/>
    <mergeCell ref="D21:D22"/>
    <mergeCell ref="E21:E22"/>
    <mergeCell ref="F21:F22"/>
    <mergeCell ref="G21:G22"/>
    <mergeCell ref="H21:H22"/>
    <mergeCell ref="B23:B24"/>
    <mergeCell ref="C23:C24"/>
    <mergeCell ref="D23:D24"/>
    <mergeCell ref="E23:E24"/>
    <mergeCell ref="F23:F24"/>
    <mergeCell ref="G23:G24"/>
    <mergeCell ref="H23:H24"/>
    <mergeCell ref="B25:B26"/>
    <mergeCell ref="C25:C26"/>
    <mergeCell ref="D25:D26"/>
    <mergeCell ref="E25:E26"/>
    <mergeCell ref="F25:F26"/>
    <mergeCell ref="G25:G26"/>
    <mergeCell ref="H25:H26"/>
    <mergeCell ref="K26:L27"/>
    <mergeCell ref="B27:B28"/>
    <mergeCell ref="C27:C28"/>
    <mergeCell ref="D27:D28"/>
    <mergeCell ref="E27:E28"/>
    <mergeCell ref="F27:F28"/>
    <mergeCell ref="G27:G28"/>
    <mergeCell ref="H27:H28"/>
    <mergeCell ref="B29:B30"/>
    <mergeCell ref="C29:C30"/>
    <mergeCell ref="D29:D30"/>
    <mergeCell ref="E29:E30"/>
    <mergeCell ref="F29:F30"/>
    <mergeCell ref="G29:G30"/>
    <mergeCell ref="H29:H30"/>
    <mergeCell ref="B31:B32"/>
    <mergeCell ref="C31:C32"/>
    <mergeCell ref="D31:D32"/>
    <mergeCell ref="E31:E32"/>
    <mergeCell ref="F31:F32"/>
    <mergeCell ref="G31:G32"/>
    <mergeCell ref="H31:H32"/>
    <mergeCell ref="B33:B34"/>
    <mergeCell ref="C33:C34"/>
    <mergeCell ref="D33:D34"/>
    <mergeCell ref="E33:E34"/>
    <mergeCell ref="F33:F34"/>
    <mergeCell ref="G33:G34"/>
    <mergeCell ref="H33:H34"/>
    <mergeCell ref="B35:B36"/>
    <mergeCell ref="C35:C36"/>
    <mergeCell ref="D35:D36"/>
    <mergeCell ref="E35:E36"/>
    <mergeCell ref="F35:F36"/>
    <mergeCell ref="G35:G36"/>
    <mergeCell ref="H35:H36"/>
    <mergeCell ref="B37:B38"/>
    <mergeCell ref="C37:C38"/>
    <mergeCell ref="D37:D38"/>
    <mergeCell ref="E37:E38"/>
    <mergeCell ref="F37:F38"/>
    <mergeCell ref="G37:G38"/>
    <mergeCell ref="H37:H38"/>
    <mergeCell ref="B39:B40"/>
    <mergeCell ref="C39:C40"/>
    <mergeCell ref="D39:D40"/>
    <mergeCell ref="E39:E40"/>
    <mergeCell ref="F39:F40"/>
    <mergeCell ref="G39:G40"/>
    <mergeCell ref="H39:H40"/>
    <mergeCell ref="B41:B42"/>
    <mergeCell ref="C41:C42"/>
    <mergeCell ref="D41:D42"/>
    <mergeCell ref="E41:E42"/>
    <mergeCell ref="F41:F42"/>
    <mergeCell ref="G41:G42"/>
    <mergeCell ref="H41:H42"/>
    <mergeCell ref="B43:B44"/>
    <mergeCell ref="C43:C44"/>
    <mergeCell ref="D43:D44"/>
    <mergeCell ref="E43:E44"/>
    <mergeCell ref="F43:F44"/>
    <mergeCell ref="G43:G44"/>
    <mergeCell ref="H43:H44"/>
    <mergeCell ref="B45:B46"/>
    <mergeCell ref="C45:C46"/>
    <mergeCell ref="D45:D46"/>
    <mergeCell ref="E45:E46"/>
    <mergeCell ref="F45:F46"/>
    <mergeCell ref="G45:G46"/>
    <mergeCell ref="H45:H46"/>
    <mergeCell ref="B47:B48"/>
    <mergeCell ref="C47:C48"/>
    <mergeCell ref="D47:D48"/>
    <mergeCell ref="E47:E48"/>
    <mergeCell ref="F47:F48"/>
    <mergeCell ref="G47:G48"/>
    <mergeCell ref="H47:H48"/>
    <mergeCell ref="B49:B50"/>
    <mergeCell ref="C49:C50"/>
    <mergeCell ref="D49:D50"/>
    <mergeCell ref="E49:E50"/>
    <mergeCell ref="F49:F50"/>
    <mergeCell ref="G49:G50"/>
    <mergeCell ref="H49:H50"/>
    <mergeCell ref="B51:B52"/>
    <mergeCell ref="C51:C52"/>
    <mergeCell ref="D51:D52"/>
    <mergeCell ref="E51:E52"/>
    <mergeCell ref="F51:F52"/>
    <mergeCell ref="G51:G52"/>
    <mergeCell ref="H51:H52"/>
    <mergeCell ref="B53:B54"/>
    <mergeCell ref="C53:C54"/>
    <mergeCell ref="D53:D54"/>
    <mergeCell ref="E53:E54"/>
    <mergeCell ref="F53:F54"/>
    <mergeCell ref="G53:G54"/>
    <mergeCell ref="H53:H54"/>
    <mergeCell ref="B55:B56"/>
    <mergeCell ref="C55:C56"/>
    <mergeCell ref="D55:D56"/>
    <mergeCell ref="E55:E56"/>
    <mergeCell ref="F55:F56"/>
    <mergeCell ref="G55:G56"/>
    <mergeCell ref="H55:H56"/>
    <mergeCell ref="B57:B58"/>
    <mergeCell ref="C57:C58"/>
    <mergeCell ref="D57:D58"/>
    <mergeCell ref="E57:E58"/>
    <mergeCell ref="F57:F58"/>
    <mergeCell ref="G57:G58"/>
    <mergeCell ref="H57:H58"/>
    <mergeCell ref="K28:S49"/>
  </mergeCells>
  <phoneticPr fontId="20" type="Hiragana"/>
  <dataValidations count="5">
    <dataValidation allowBlank="0" showDropDown="0" showInputMessage="1" showErrorMessage="1" sqref="D17:E18"/>
    <dataValidation type="list" allowBlank="0" showDropDown="0" showInputMessage="1" showErrorMessage="1" sqref="E13 G13">
      <formula1>"○,-"</formula1>
    </dataValidation>
    <dataValidation type="list" allowBlank="0" showDropDown="0" showInputMessage="1" showErrorMessage="1" sqref="B43:B58 B17:B26">
      <formula1>"○"</formula1>
    </dataValidation>
    <dataValidation allowBlank="1" showDropDown="0" showInputMessage="1" showErrorMessage="0" sqref="F13:F26 F43:F58"/>
    <dataValidation type="list" allowBlank="0" showDropDown="0" showInputMessage="1" showErrorMessage="0" sqref="B27:B42">
      <formula1>"○"</formula1>
    </dataValidation>
  </dataValidations>
  <pageMargins left="0.7" right="0.7" top="0.75" bottom="0.75" header="0.3" footer="0.3"/>
  <pageSetup paperSize="9" scale="39" fitToWidth="1" fitToHeight="1"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7" tint="0.8"/>
  </sheetPr>
  <dimension ref="A1:Y66"/>
  <sheetViews>
    <sheetView workbookViewId="0">
      <selection activeCell="J29" sqref="J29"/>
    </sheetView>
  </sheetViews>
  <sheetFormatPr defaultRowHeight="11.25"/>
  <cols>
    <col min="1" max="1" width="4.46484375" style="249" customWidth="1"/>
    <col min="2" max="2" width="4.19921875" style="249" customWidth="1"/>
    <col min="3" max="3" width="20.265625" style="249" bestFit="1" customWidth="1"/>
    <col min="4" max="4" width="9" style="249" bestFit="1" customWidth="1"/>
    <col min="5" max="5" width="4.19921875" style="249" bestFit="1" customWidth="1"/>
    <col min="6" max="8" width="2.59765625" style="249" bestFit="1" customWidth="1"/>
    <col min="9" max="11" width="4.46484375" style="249" customWidth="1"/>
    <col min="12" max="12" width="21.9296875" style="249" bestFit="1" customWidth="1"/>
    <col min="13" max="13" width="2.59765625" style="249" bestFit="1" customWidth="1"/>
    <col min="14" max="14" width="1.796875" style="249" bestFit="1" customWidth="1"/>
    <col min="15" max="15" width="9.06640625" style="249" customWidth="1"/>
    <col min="16" max="17" width="5.46484375" style="249" customWidth="1"/>
    <col min="18" max="16384" width="9.06640625" style="249" customWidth="1"/>
  </cols>
  <sheetData>
    <row r="1" spans="1:25">
      <c r="A1" s="250"/>
      <c r="C1" s="261" t="str">
        <f>'【編集者】入力・計算用シート'!H32</f>
        <v>令和8</v>
      </c>
      <c r="D1" s="281" t="s">
        <v>356</v>
      </c>
      <c r="E1" s="281"/>
      <c r="F1" s="281"/>
      <c r="G1" s="281"/>
      <c r="H1" s="281"/>
      <c r="I1" s="281"/>
      <c r="J1" s="281"/>
      <c r="K1" s="281"/>
      <c r="L1" s="281"/>
      <c r="M1" s="250"/>
      <c r="N1" s="250"/>
      <c r="O1" s="250"/>
      <c r="P1" s="250"/>
      <c r="Q1" s="250"/>
    </row>
    <row r="2" spans="1:25" ht="18">
      <c r="A2" s="250"/>
      <c r="B2" s="251"/>
      <c r="C2" s="262"/>
      <c r="D2" s="282"/>
      <c r="E2" s="282"/>
      <c r="F2" s="282"/>
      <c r="G2" s="282"/>
      <c r="H2" s="282"/>
      <c r="I2" s="282"/>
      <c r="J2" s="282"/>
      <c r="K2" s="282"/>
      <c r="L2" s="282"/>
      <c r="M2" s="303"/>
      <c r="N2" s="303"/>
      <c r="O2" s="303"/>
      <c r="P2" s="250"/>
      <c r="Q2" s="250"/>
      <c r="R2" s="310" t="s">
        <v>116</v>
      </c>
      <c r="S2" s="310"/>
    </row>
    <row r="3" spans="1:25" ht="20.25" customHeight="1">
      <c r="A3" s="250"/>
      <c r="B3" s="250"/>
      <c r="C3" s="250"/>
      <c r="D3" s="250"/>
      <c r="E3" s="250"/>
      <c r="F3" s="250"/>
      <c r="G3" s="250"/>
      <c r="H3" s="250"/>
      <c r="I3" s="250"/>
      <c r="J3" s="250"/>
      <c r="K3" s="250"/>
      <c r="L3" s="250"/>
      <c r="M3" s="250"/>
      <c r="N3" s="250"/>
      <c r="O3" s="250"/>
      <c r="P3" s="250"/>
      <c r="Q3" s="250"/>
    </row>
    <row r="4" spans="1:25">
      <c r="A4" s="250"/>
      <c r="B4" s="252"/>
      <c r="C4" s="263"/>
      <c r="D4" s="263"/>
      <c r="E4" s="263"/>
      <c r="F4" s="263"/>
      <c r="G4" s="263"/>
      <c r="H4" s="263"/>
      <c r="I4" s="263"/>
      <c r="J4" s="263"/>
      <c r="K4" s="263"/>
      <c r="L4" s="263"/>
      <c r="M4" s="263"/>
      <c r="N4" s="263"/>
      <c r="O4" s="305"/>
      <c r="P4" s="250"/>
      <c r="Q4" s="250"/>
    </row>
    <row r="5" spans="1:25" ht="13.5">
      <c r="A5" s="250"/>
      <c r="B5" s="253"/>
      <c r="C5" s="264" t="s">
        <v>97</v>
      </c>
      <c r="D5" s="283"/>
      <c r="E5" s="286"/>
      <c r="F5" s="286"/>
      <c r="G5" s="286"/>
      <c r="H5" s="286"/>
      <c r="I5" s="286"/>
      <c r="J5" s="286"/>
      <c r="K5" s="286"/>
      <c r="L5" s="286"/>
      <c r="M5" s="286"/>
      <c r="N5" s="286"/>
      <c r="O5" s="306"/>
      <c r="P5" s="250"/>
      <c r="Q5" s="250"/>
      <c r="R5" s="277"/>
      <c r="S5" s="277"/>
      <c r="T5" s="250"/>
      <c r="U5" s="250"/>
      <c r="V5" s="300"/>
      <c r="W5" s="250"/>
      <c r="X5" s="250"/>
    </row>
    <row r="6" spans="1:25">
      <c r="A6" s="250"/>
      <c r="B6" s="254"/>
      <c r="C6" s="250"/>
      <c r="D6" s="250"/>
      <c r="E6" s="250"/>
      <c r="F6" s="250"/>
      <c r="G6" s="250"/>
      <c r="H6" s="250"/>
      <c r="I6" s="286"/>
      <c r="J6" s="250"/>
      <c r="K6" s="250"/>
      <c r="L6" s="250"/>
      <c r="M6" s="250"/>
      <c r="N6" s="286"/>
      <c r="O6" s="306"/>
      <c r="P6" s="250"/>
      <c r="Q6" s="250"/>
      <c r="R6" s="250"/>
      <c r="S6" s="316" t="s">
        <v>226</v>
      </c>
      <c r="T6" s="316"/>
      <c r="U6" s="321">
        <f>L9-L12+L23-L15+L33</f>
        <v>0</v>
      </c>
      <c r="V6" s="321"/>
      <c r="W6" s="316" t="s">
        <v>115</v>
      </c>
      <c r="X6" s="324"/>
    </row>
    <row r="7" spans="1:25">
      <c r="A7" s="250"/>
      <c r="B7" s="254"/>
      <c r="C7" s="250"/>
      <c r="D7" s="250"/>
      <c r="E7" s="250"/>
      <c r="F7" s="250"/>
      <c r="G7" s="250"/>
      <c r="H7" s="250"/>
      <c r="I7" s="250"/>
      <c r="J7" s="250"/>
      <c r="K7" s="250"/>
      <c r="L7" s="250"/>
      <c r="M7" s="250"/>
      <c r="N7" s="250"/>
      <c r="O7" s="306"/>
      <c r="P7" s="250"/>
      <c r="Q7" s="250"/>
      <c r="R7" s="250"/>
      <c r="S7" s="317"/>
      <c r="T7" s="317"/>
      <c r="U7" s="322"/>
      <c r="V7" s="322"/>
      <c r="W7" s="317"/>
      <c r="X7" s="324"/>
    </row>
    <row r="8" spans="1:25" ht="12">
      <c r="A8" s="250"/>
      <c r="B8" s="254"/>
      <c r="C8" s="265" t="s">
        <v>223</v>
      </c>
      <c r="D8" s="277"/>
      <c r="E8" s="250"/>
      <c r="F8" s="277"/>
      <c r="G8" s="277"/>
      <c r="H8" s="277"/>
      <c r="I8" s="286"/>
      <c r="J8" s="250"/>
      <c r="K8" s="250"/>
      <c r="L8" s="265" t="s">
        <v>227</v>
      </c>
      <c r="M8" s="265"/>
      <c r="N8" s="286"/>
      <c r="O8" s="306"/>
      <c r="P8" s="250"/>
      <c r="Q8" s="250"/>
      <c r="R8" s="250"/>
      <c r="S8" s="318"/>
      <c r="T8" s="318"/>
      <c r="U8" s="323"/>
      <c r="V8" s="323"/>
      <c r="W8" s="318"/>
      <c r="X8" s="325"/>
    </row>
    <row r="9" spans="1:25" ht="23.25" customHeight="1">
      <c r="A9" s="250"/>
      <c r="B9" s="254"/>
      <c r="C9" s="266"/>
      <c r="D9" s="250" t="s">
        <v>115</v>
      </c>
      <c r="E9" s="250"/>
      <c r="F9" s="277"/>
      <c r="G9" s="277"/>
      <c r="H9" s="277"/>
      <c r="I9" s="286"/>
      <c r="J9" s="286"/>
      <c r="K9" s="286"/>
      <c r="L9" s="296">
        <f>VLOOKUP(1,'【編集者】入力・計算用シート'!$D$315:$E$321,2,0)</f>
        <v>0</v>
      </c>
      <c r="M9" s="292" t="s">
        <v>115</v>
      </c>
      <c r="N9" s="286"/>
      <c r="O9" s="306"/>
      <c r="P9" s="250"/>
      <c r="Q9" s="250"/>
      <c r="R9" s="250"/>
      <c r="S9" s="316" t="s">
        <v>108</v>
      </c>
      <c r="T9" s="316"/>
      <c r="U9" s="321">
        <f>IFERROR(U6-IF('【編集者】入力・計算用シート'!B324&lt;='【編集者】入力・計算用シート'!B329,IF(L23&lt;150000,L23,150000),0),0)</f>
        <v>0</v>
      </c>
      <c r="V9" s="321"/>
      <c r="W9" s="316" t="s">
        <v>115</v>
      </c>
      <c r="X9" s="326"/>
    </row>
    <row r="10" spans="1:25" ht="12">
      <c r="A10" s="250"/>
      <c r="B10" s="254"/>
      <c r="C10" s="267"/>
      <c r="D10" s="277"/>
      <c r="E10" s="277"/>
      <c r="F10" s="277"/>
      <c r="G10" s="277"/>
      <c r="H10" s="277"/>
      <c r="I10" s="286"/>
      <c r="J10" s="250"/>
      <c r="K10" s="250"/>
      <c r="L10" s="294"/>
      <c r="M10" s="286"/>
      <c r="N10" s="286"/>
      <c r="O10" s="306"/>
      <c r="P10" s="250"/>
      <c r="Q10" s="250"/>
      <c r="R10" s="250"/>
      <c r="S10" s="318"/>
      <c r="T10" s="318"/>
      <c r="U10" s="323"/>
      <c r="V10" s="323"/>
      <c r="W10" s="318"/>
      <c r="X10" s="325"/>
    </row>
    <row r="11" spans="1:25" ht="12">
      <c r="A11" s="250"/>
      <c r="B11" s="254"/>
      <c r="C11" s="268" t="s">
        <v>179</v>
      </c>
      <c r="D11" s="273"/>
      <c r="E11" s="273"/>
      <c r="F11" s="273"/>
      <c r="G11" s="273"/>
      <c r="H11" s="273"/>
      <c r="K11" s="293" t="s">
        <v>202</v>
      </c>
      <c r="L11" s="271" t="s">
        <v>232</v>
      </c>
      <c r="M11" s="286"/>
      <c r="N11" s="299" t="s">
        <v>39</v>
      </c>
      <c r="O11" s="307"/>
      <c r="P11" s="250"/>
      <c r="Q11" s="250"/>
      <c r="R11" s="250"/>
      <c r="S11" s="250"/>
      <c r="T11" s="250"/>
      <c r="U11" s="250"/>
      <c r="V11" s="250"/>
      <c r="W11" s="250"/>
      <c r="X11" s="250"/>
    </row>
    <row r="12" spans="1:25" ht="23.25" customHeight="1">
      <c r="A12" s="250"/>
      <c r="B12" s="254"/>
      <c r="C12" s="269" t="s">
        <v>26</v>
      </c>
      <c r="D12" s="273"/>
      <c r="E12" s="273"/>
      <c r="F12" s="273"/>
      <c r="G12" s="273"/>
      <c r="H12" s="273"/>
      <c r="K12" s="293"/>
      <c r="L12" s="296">
        <f>'【編集者】入力・計算用シート'!B368</f>
        <v>0</v>
      </c>
      <c r="M12" s="292" t="s">
        <v>115</v>
      </c>
      <c r="N12" s="299"/>
      <c r="O12" s="307"/>
      <c r="P12" s="250"/>
      <c r="Q12" s="250"/>
      <c r="R12" s="250"/>
      <c r="S12" s="250"/>
      <c r="T12" s="250"/>
      <c r="U12" s="250"/>
      <c r="V12" s="250"/>
      <c r="W12" s="250"/>
      <c r="X12" s="250"/>
    </row>
    <row r="13" spans="1:25" ht="10.9" customHeight="1">
      <c r="A13" s="250"/>
      <c r="B13" s="254"/>
      <c r="C13" s="270"/>
      <c r="D13" s="270"/>
      <c r="E13" s="270"/>
      <c r="F13" s="270"/>
      <c r="G13" s="270"/>
      <c r="H13" s="270"/>
      <c r="K13" s="294"/>
      <c r="L13" s="265"/>
      <c r="M13" s="250"/>
      <c r="N13" s="294"/>
      <c r="O13" s="307"/>
      <c r="P13" s="250"/>
      <c r="Q13" s="250"/>
    </row>
    <row r="14" spans="1:25" ht="12.75">
      <c r="A14" s="250"/>
      <c r="B14" s="254"/>
      <c r="C14" s="271" t="s">
        <v>253</v>
      </c>
      <c r="D14" s="273"/>
      <c r="E14" s="273"/>
      <c r="F14" s="273"/>
      <c r="G14" s="273"/>
      <c r="H14" s="273"/>
      <c r="K14" s="293" t="s">
        <v>202</v>
      </c>
      <c r="L14" s="271" t="s">
        <v>234</v>
      </c>
      <c r="M14" s="286"/>
      <c r="N14" s="299" t="s">
        <v>39</v>
      </c>
      <c r="O14" s="306"/>
      <c r="P14" s="250"/>
      <c r="Q14" s="250"/>
      <c r="R14" s="311" t="s">
        <v>162</v>
      </c>
      <c r="S14" s="311"/>
      <c r="T14" s="320"/>
      <c r="U14" s="320"/>
      <c r="V14" s="320"/>
      <c r="W14" s="320"/>
      <c r="X14" s="320"/>
      <c r="Y14" s="320"/>
    </row>
    <row r="15" spans="1:25" ht="23.25" customHeight="1">
      <c r="A15" s="250"/>
      <c r="B15" s="254"/>
      <c r="C15" s="272" t="str">
        <f>IF(L15&gt;0,"該当","非該当")</f>
        <v>非該当</v>
      </c>
      <c r="D15" s="284" t="s">
        <v>43</v>
      </c>
      <c r="E15" s="270"/>
      <c r="F15" s="270"/>
      <c r="G15" s="270"/>
      <c r="H15" s="270"/>
      <c r="K15" s="293"/>
      <c r="L15" s="296">
        <f>MAX(0,'【編集者】入力・計算用シート'!B375)</f>
        <v>0</v>
      </c>
      <c r="M15" s="292" t="s">
        <v>115</v>
      </c>
      <c r="N15" s="299"/>
      <c r="O15" s="306"/>
      <c r="P15" s="250"/>
      <c r="Q15" s="250"/>
      <c r="R15" s="312"/>
      <c r="S15" s="312"/>
      <c r="T15" s="312"/>
      <c r="U15" s="312"/>
      <c r="V15" s="312"/>
      <c r="W15" s="312"/>
      <c r="X15" s="312"/>
      <c r="Y15" s="312"/>
    </row>
    <row r="16" spans="1:25">
      <c r="A16" s="250"/>
      <c r="B16" s="254"/>
      <c r="C16" s="273"/>
      <c r="D16" s="270"/>
      <c r="E16" s="270"/>
      <c r="F16" s="270"/>
      <c r="G16" s="270"/>
      <c r="H16" s="270"/>
      <c r="I16" s="250"/>
      <c r="J16" s="250"/>
      <c r="K16" s="250"/>
      <c r="L16" s="284"/>
      <c r="M16" s="284"/>
      <c r="N16" s="250"/>
      <c r="O16" s="306"/>
      <c r="P16" s="250"/>
      <c r="Q16" s="250"/>
      <c r="R16" s="313" t="s">
        <v>164</v>
      </c>
      <c r="S16" s="319"/>
      <c r="T16" s="319"/>
      <c r="U16" s="319"/>
      <c r="V16" s="319"/>
      <c r="W16" s="319"/>
      <c r="X16" s="319"/>
      <c r="Y16" s="327"/>
    </row>
    <row r="17" spans="1:25">
      <c r="A17" s="250"/>
      <c r="B17" s="255"/>
      <c r="C17" s="274"/>
      <c r="D17" s="274"/>
      <c r="E17" s="274"/>
      <c r="F17" s="274"/>
      <c r="G17" s="274"/>
      <c r="H17" s="274"/>
      <c r="I17" s="292"/>
      <c r="J17" s="292"/>
      <c r="K17" s="292"/>
      <c r="L17" s="297"/>
      <c r="M17" s="297"/>
      <c r="N17" s="292"/>
      <c r="O17" s="308"/>
      <c r="P17" s="250"/>
      <c r="Q17" s="250"/>
      <c r="R17" s="314"/>
      <c r="S17" s="279"/>
      <c r="T17" s="279"/>
      <c r="U17" s="279"/>
      <c r="V17" s="279"/>
      <c r="W17" s="279"/>
      <c r="X17" s="279"/>
      <c r="Y17" s="328"/>
    </row>
    <row r="18" spans="1:25">
      <c r="A18" s="250"/>
      <c r="B18" s="252"/>
      <c r="C18" s="275"/>
      <c r="D18" s="275"/>
      <c r="E18" s="275"/>
      <c r="F18" s="275"/>
      <c r="G18" s="275"/>
      <c r="H18" s="275"/>
      <c r="I18" s="263"/>
      <c r="J18" s="263"/>
      <c r="K18" s="263"/>
      <c r="L18" s="298"/>
      <c r="M18" s="298"/>
      <c r="N18" s="263"/>
      <c r="O18" s="305"/>
      <c r="P18" s="250"/>
      <c r="Q18" s="250"/>
      <c r="R18" s="314"/>
      <c r="S18" s="279"/>
      <c r="T18" s="279"/>
      <c r="U18" s="279"/>
      <c r="V18" s="279"/>
      <c r="W18" s="279"/>
      <c r="X18" s="279"/>
      <c r="Y18" s="328"/>
    </row>
    <row r="19" spans="1:25" ht="13.5">
      <c r="A19" s="250"/>
      <c r="B19" s="253"/>
      <c r="C19" s="264" t="s">
        <v>312</v>
      </c>
      <c r="D19" s="283"/>
      <c r="E19" s="285"/>
      <c r="F19" s="285"/>
      <c r="G19" s="285"/>
      <c r="H19" s="285"/>
      <c r="I19" s="286"/>
      <c r="J19" s="286"/>
      <c r="K19" s="286"/>
      <c r="L19" s="299"/>
      <c r="M19" s="299"/>
      <c r="N19" s="286"/>
      <c r="O19" s="306"/>
      <c r="P19" s="250"/>
      <c r="Q19" s="250"/>
      <c r="R19" s="314"/>
      <c r="S19" s="279"/>
      <c r="T19" s="279"/>
      <c r="U19" s="279"/>
      <c r="V19" s="279"/>
      <c r="W19" s="279"/>
      <c r="X19" s="279"/>
      <c r="Y19" s="328"/>
    </row>
    <row r="20" spans="1:25" ht="12">
      <c r="A20" s="250"/>
      <c r="B20" s="256"/>
      <c r="C20" s="276"/>
      <c r="D20" s="276"/>
      <c r="E20" s="277"/>
      <c r="F20" s="277"/>
      <c r="G20" s="277"/>
      <c r="H20" s="277"/>
      <c r="I20" s="250"/>
      <c r="J20" s="250"/>
      <c r="K20" s="250"/>
      <c r="L20" s="294"/>
      <c r="M20" s="294"/>
      <c r="N20" s="250"/>
      <c r="O20" s="306"/>
      <c r="P20" s="250"/>
      <c r="Q20" s="250"/>
      <c r="R20" s="314"/>
      <c r="S20" s="279"/>
      <c r="T20" s="279"/>
      <c r="U20" s="279"/>
      <c r="V20" s="279"/>
      <c r="W20" s="279"/>
      <c r="X20" s="279"/>
      <c r="Y20" s="328"/>
    </row>
    <row r="21" spans="1:25">
      <c r="A21" s="250"/>
      <c r="B21" s="254"/>
      <c r="C21" s="277"/>
      <c r="D21" s="277"/>
      <c r="E21" s="287" t="s">
        <v>14</v>
      </c>
      <c r="F21" s="287"/>
      <c r="G21" s="287"/>
      <c r="H21" s="287"/>
      <c r="I21" s="286"/>
      <c r="J21" s="250"/>
      <c r="K21" s="250"/>
      <c r="L21" s="250"/>
      <c r="M21" s="286"/>
      <c r="N21" s="286"/>
      <c r="O21" s="306"/>
      <c r="P21" s="250"/>
      <c r="Q21" s="250"/>
      <c r="R21" s="314"/>
      <c r="S21" s="279"/>
      <c r="T21" s="279"/>
      <c r="U21" s="279"/>
      <c r="V21" s="279"/>
      <c r="W21" s="279"/>
      <c r="X21" s="279"/>
      <c r="Y21" s="328"/>
    </row>
    <row r="22" spans="1:25" ht="12">
      <c r="A22" s="250"/>
      <c r="B22" s="254"/>
      <c r="C22" s="265" t="s">
        <v>169</v>
      </c>
      <c r="D22" s="277"/>
      <c r="E22" s="287" t="s">
        <v>175</v>
      </c>
      <c r="F22" s="287" t="s">
        <v>145</v>
      </c>
      <c r="G22" s="287" t="s">
        <v>94</v>
      </c>
      <c r="H22" s="287" t="s">
        <v>230</v>
      </c>
      <c r="I22" s="286"/>
      <c r="J22" s="250"/>
      <c r="K22" s="250"/>
      <c r="L22" s="265" t="s">
        <v>228</v>
      </c>
      <c r="M22" s="284"/>
      <c r="N22" s="286"/>
      <c r="O22" s="306"/>
      <c r="P22" s="250"/>
      <c r="Q22" s="250"/>
      <c r="R22" s="314"/>
      <c r="S22" s="279"/>
      <c r="T22" s="279"/>
      <c r="U22" s="279"/>
      <c r="V22" s="279"/>
      <c r="W22" s="279"/>
      <c r="X22" s="279"/>
      <c r="Y22" s="328"/>
    </row>
    <row r="23" spans="1:25" ht="23.65" customHeight="1">
      <c r="A23" s="250"/>
      <c r="B23" s="254"/>
      <c r="C23" s="266"/>
      <c r="D23" s="285" t="s">
        <v>115</v>
      </c>
      <c r="E23" s="288"/>
      <c r="F23" s="290"/>
      <c r="G23" s="290"/>
      <c r="H23" s="291"/>
      <c r="I23" s="286"/>
      <c r="J23" s="286"/>
      <c r="K23" s="286"/>
      <c r="L23" s="296">
        <f>IFERROR(MAX(0,VLOOKUP(3,'【編集者】入力・計算用シート'!$H$332:$I$362,2,0)),0)</f>
        <v>0</v>
      </c>
      <c r="M23" s="292" t="s">
        <v>115</v>
      </c>
      <c r="N23" s="286"/>
      <c r="O23" s="306"/>
      <c r="P23" s="250"/>
      <c r="Q23" s="250"/>
      <c r="R23" s="314"/>
      <c r="S23" s="279"/>
      <c r="T23" s="279"/>
      <c r="U23" s="279"/>
      <c r="V23" s="279"/>
      <c r="W23" s="279"/>
      <c r="X23" s="279"/>
      <c r="Y23" s="328"/>
    </row>
    <row r="24" spans="1:25" ht="12">
      <c r="A24" s="250"/>
      <c r="B24" s="254"/>
      <c r="C24" s="277"/>
      <c r="D24" s="277"/>
      <c r="E24" s="289"/>
      <c r="F24" s="289"/>
      <c r="G24" s="289"/>
      <c r="H24" s="289"/>
      <c r="I24" s="250"/>
      <c r="J24" s="250"/>
      <c r="K24" s="250"/>
      <c r="N24" s="286"/>
      <c r="O24" s="306"/>
      <c r="P24" s="250"/>
      <c r="Q24" s="250"/>
      <c r="R24" s="314"/>
      <c r="S24" s="279"/>
      <c r="T24" s="279"/>
      <c r="U24" s="279"/>
      <c r="V24" s="279"/>
      <c r="W24" s="279"/>
      <c r="X24" s="279"/>
      <c r="Y24" s="328"/>
    </row>
    <row r="25" spans="1:25" ht="12">
      <c r="A25" s="250"/>
      <c r="B25" s="254"/>
      <c r="C25" s="265" t="s">
        <v>217</v>
      </c>
      <c r="D25" s="277"/>
      <c r="E25" s="289"/>
      <c r="F25" s="289"/>
      <c r="G25" s="289"/>
      <c r="H25" s="289"/>
      <c r="I25" s="250"/>
      <c r="J25" s="250"/>
      <c r="K25" s="250"/>
      <c r="N25" s="250"/>
      <c r="O25" s="307"/>
      <c r="P25" s="250"/>
      <c r="Q25" s="250"/>
      <c r="R25" s="314"/>
      <c r="S25" s="279"/>
      <c r="T25" s="279"/>
      <c r="U25" s="279"/>
      <c r="V25" s="279"/>
      <c r="W25" s="279"/>
      <c r="X25" s="279"/>
      <c r="Y25" s="328"/>
    </row>
    <row r="26" spans="1:25" ht="23.65" customHeight="1">
      <c r="A26" s="250"/>
      <c r="B26" s="254"/>
      <c r="C26" s="266" t="s">
        <v>118</v>
      </c>
      <c r="D26" s="277"/>
      <c r="E26" s="277"/>
      <c r="F26" s="277"/>
      <c r="G26" s="277"/>
      <c r="H26" s="277"/>
      <c r="I26" s="250"/>
      <c r="J26" s="250"/>
      <c r="K26" s="250"/>
      <c r="N26" s="250"/>
      <c r="O26" s="307"/>
      <c r="P26" s="250"/>
      <c r="Q26" s="250"/>
      <c r="R26" s="314"/>
      <c r="S26" s="279"/>
      <c r="T26" s="279"/>
      <c r="U26" s="279"/>
      <c r="V26" s="279"/>
      <c r="W26" s="279"/>
      <c r="X26" s="279"/>
      <c r="Y26" s="328"/>
    </row>
    <row r="27" spans="1:25" ht="12">
      <c r="A27" s="250"/>
      <c r="B27" s="255"/>
      <c r="C27" s="274"/>
      <c r="D27" s="274"/>
      <c r="E27" s="274"/>
      <c r="F27" s="274"/>
      <c r="G27" s="274"/>
      <c r="H27" s="274"/>
      <c r="I27" s="292"/>
      <c r="J27" s="292"/>
      <c r="K27" s="292"/>
      <c r="L27" s="297"/>
      <c r="M27" s="297"/>
      <c r="N27" s="292"/>
      <c r="O27" s="308"/>
      <c r="P27" s="250"/>
      <c r="Q27" s="250"/>
      <c r="R27" s="314"/>
      <c r="S27" s="279"/>
      <c r="T27" s="279"/>
      <c r="U27" s="279"/>
      <c r="V27" s="279"/>
      <c r="W27" s="279"/>
      <c r="X27" s="279"/>
      <c r="Y27" s="328"/>
    </row>
    <row r="28" spans="1:25">
      <c r="A28" s="250"/>
      <c r="B28" s="252"/>
      <c r="C28" s="275"/>
      <c r="D28" s="275"/>
      <c r="E28" s="275"/>
      <c r="F28" s="275"/>
      <c r="G28" s="275"/>
      <c r="H28" s="275"/>
      <c r="I28" s="263"/>
      <c r="J28" s="263"/>
      <c r="K28" s="263"/>
      <c r="L28" s="298"/>
      <c r="M28" s="298"/>
      <c r="N28" s="263"/>
      <c r="O28" s="305"/>
      <c r="P28" s="250"/>
      <c r="Q28" s="250"/>
      <c r="R28" s="314"/>
      <c r="S28" s="279"/>
      <c r="T28" s="279"/>
      <c r="U28" s="279"/>
      <c r="V28" s="279"/>
      <c r="W28" s="279"/>
      <c r="X28" s="279"/>
      <c r="Y28" s="328"/>
    </row>
    <row r="29" spans="1:25" ht="13.5">
      <c r="A29" s="250"/>
      <c r="B29" s="253"/>
      <c r="C29" s="264" t="s">
        <v>85</v>
      </c>
      <c r="D29" s="283"/>
      <c r="E29" s="285"/>
      <c r="F29" s="285"/>
      <c r="G29" s="285"/>
      <c r="H29" s="285"/>
      <c r="I29" s="286"/>
      <c r="J29" s="286"/>
      <c r="K29" s="286"/>
      <c r="L29" s="299"/>
      <c r="M29" s="299"/>
      <c r="N29" s="286"/>
      <c r="O29" s="306"/>
      <c r="P29" s="250"/>
      <c r="Q29" s="250"/>
      <c r="R29" s="314"/>
      <c r="S29" s="279"/>
      <c r="T29" s="279"/>
      <c r="U29" s="279"/>
      <c r="V29" s="279"/>
      <c r="W29" s="279"/>
      <c r="X29" s="279"/>
      <c r="Y29" s="328"/>
    </row>
    <row r="30" spans="1:25" ht="12">
      <c r="A30" s="250"/>
      <c r="B30" s="257"/>
      <c r="C30" s="278"/>
      <c r="D30" s="278"/>
      <c r="E30" s="277"/>
      <c r="F30" s="277"/>
      <c r="G30" s="277"/>
      <c r="H30" s="277"/>
      <c r="I30" s="250"/>
      <c r="J30" s="250"/>
      <c r="K30" s="250"/>
      <c r="L30" s="294"/>
      <c r="M30" s="294"/>
      <c r="N30" s="250"/>
      <c r="O30" s="306"/>
      <c r="P30" s="250"/>
      <c r="Q30" s="250"/>
      <c r="R30" s="314"/>
      <c r="S30" s="279"/>
      <c r="T30" s="279"/>
      <c r="U30" s="279"/>
      <c r="V30" s="279"/>
      <c r="W30" s="279"/>
      <c r="X30" s="279"/>
      <c r="Y30" s="328"/>
    </row>
    <row r="31" spans="1:25">
      <c r="A31" s="250"/>
      <c r="B31" s="253"/>
      <c r="C31" s="279" t="s">
        <v>248</v>
      </c>
      <c r="D31" s="279"/>
      <c r="E31" s="279"/>
      <c r="F31" s="279"/>
      <c r="G31" s="279"/>
      <c r="H31" s="279"/>
      <c r="I31" s="279"/>
      <c r="J31" s="279"/>
      <c r="K31" s="295"/>
      <c r="L31" s="294"/>
      <c r="M31" s="294"/>
      <c r="N31" s="286"/>
      <c r="O31" s="306"/>
      <c r="P31" s="250"/>
      <c r="Q31" s="250"/>
      <c r="R31" s="314"/>
      <c r="S31" s="279"/>
      <c r="T31" s="279"/>
      <c r="U31" s="279"/>
      <c r="V31" s="279"/>
      <c r="W31" s="279"/>
      <c r="X31" s="279"/>
      <c r="Y31" s="328"/>
    </row>
    <row r="32" spans="1:25">
      <c r="A32" s="250"/>
      <c r="B32" s="258"/>
      <c r="C32" s="279"/>
      <c r="D32" s="279"/>
      <c r="E32" s="279"/>
      <c r="F32" s="279"/>
      <c r="G32" s="279"/>
      <c r="H32" s="279"/>
      <c r="I32" s="279"/>
      <c r="J32" s="279"/>
      <c r="K32" s="295"/>
      <c r="L32" s="300" t="s">
        <v>313</v>
      </c>
      <c r="M32" s="300"/>
      <c r="N32" s="286"/>
      <c r="O32" s="306"/>
      <c r="P32" s="250"/>
      <c r="Q32" s="250"/>
      <c r="R32" s="314"/>
      <c r="S32" s="279"/>
      <c r="T32" s="279"/>
      <c r="U32" s="279"/>
      <c r="V32" s="279"/>
      <c r="W32" s="279"/>
      <c r="X32" s="279"/>
      <c r="Y32" s="328"/>
    </row>
    <row r="33" spans="1:25">
      <c r="A33" s="250"/>
      <c r="B33" s="258"/>
      <c r="C33" s="279"/>
      <c r="D33" s="279"/>
      <c r="E33" s="279"/>
      <c r="F33" s="279"/>
      <c r="G33" s="279"/>
      <c r="H33" s="279"/>
      <c r="I33" s="279"/>
      <c r="J33" s="279"/>
      <c r="K33" s="279"/>
      <c r="L33" s="301"/>
      <c r="M33" s="304" t="s">
        <v>115</v>
      </c>
      <c r="N33" s="286"/>
      <c r="O33" s="306"/>
      <c r="P33" s="250"/>
      <c r="Q33" s="250"/>
      <c r="R33" s="314"/>
      <c r="S33" s="279"/>
      <c r="T33" s="279"/>
      <c r="U33" s="279"/>
      <c r="V33" s="279"/>
      <c r="W33" s="279"/>
      <c r="X33" s="279"/>
      <c r="Y33" s="328"/>
    </row>
    <row r="34" spans="1:25">
      <c r="A34" s="250"/>
      <c r="B34" s="258"/>
      <c r="C34" s="279"/>
      <c r="D34" s="279"/>
      <c r="E34" s="279"/>
      <c r="F34" s="279"/>
      <c r="G34" s="279"/>
      <c r="H34" s="279"/>
      <c r="I34" s="279"/>
      <c r="J34" s="279"/>
      <c r="K34" s="279"/>
      <c r="L34" s="302"/>
      <c r="M34" s="304"/>
      <c r="N34" s="286"/>
      <c r="O34" s="306"/>
      <c r="P34" s="250"/>
      <c r="Q34" s="250"/>
      <c r="R34" s="314"/>
      <c r="S34" s="279"/>
      <c r="T34" s="279"/>
      <c r="U34" s="279"/>
      <c r="V34" s="279"/>
      <c r="W34" s="279"/>
      <c r="X34" s="279"/>
      <c r="Y34" s="328"/>
    </row>
    <row r="35" spans="1:25">
      <c r="A35" s="250"/>
      <c r="B35" s="258"/>
      <c r="C35" s="279"/>
      <c r="D35" s="279"/>
      <c r="E35" s="279"/>
      <c r="F35" s="279"/>
      <c r="G35" s="279"/>
      <c r="H35" s="279"/>
      <c r="I35" s="279"/>
      <c r="J35" s="279"/>
      <c r="K35" s="279"/>
      <c r="L35" s="286"/>
      <c r="M35" s="286"/>
      <c r="N35" s="286"/>
      <c r="O35" s="306"/>
      <c r="P35" s="250"/>
      <c r="Q35" s="250"/>
      <c r="R35" s="314"/>
      <c r="S35" s="279"/>
      <c r="T35" s="279"/>
      <c r="U35" s="279"/>
      <c r="V35" s="279"/>
      <c r="W35" s="279"/>
      <c r="X35" s="279"/>
      <c r="Y35" s="328"/>
    </row>
    <row r="36" spans="1:25">
      <c r="A36" s="250"/>
      <c r="B36" s="258"/>
      <c r="C36" s="279"/>
      <c r="D36" s="279"/>
      <c r="E36" s="279"/>
      <c r="F36" s="279"/>
      <c r="G36" s="279"/>
      <c r="H36" s="279"/>
      <c r="I36" s="279"/>
      <c r="J36" s="279"/>
      <c r="K36" s="279"/>
      <c r="L36" s="286"/>
      <c r="M36" s="286"/>
      <c r="N36" s="286"/>
      <c r="O36" s="306"/>
      <c r="P36" s="250"/>
      <c r="Q36" s="250"/>
      <c r="R36" s="314"/>
      <c r="S36" s="279"/>
      <c r="T36" s="279"/>
      <c r="U36" s="279"/>
      <c r="V36" s="279"/>
      <c r="W36" s="279"/>
      <c r="X36" s="279"/>
      <c r="Y36" s="328"/>
    </row>
    <row r="37" spans="1:25">
      <c r="A37" s="250"/>
      <c r="B37" s="258"/>
      <c r="C37" s="279"/>
      <c r="D37" s="279"/>
      <c r="E37" s="279"/>
      <c r="F37" s="279"/>
      <c r="G37" s="279"/>
      <c r="H37" s="279"/>
      <c r="I37" s="279"/>
      <c r="J37" s="279"/>
      <c r="K37" s="295"/>
      <c r="L37" s="250"/>
      <c r="M37" s="250"/>
      <c r="N37" s="250"/>
      <c r="O37" s="306"/>
      <c r="P37" s="250"/>
      <c r="Q37" s="250"/>
      <c r="R37" s="314"/>
      <c r="S37" s="279"/>
      <c r="T37" s="279"/>
      <c r="U37" s="279"/>
      <c r="V37" s="279"/>
      <c r="W37" s="279"/>
      <c r="X37" s="279"/>
      <c r="Y37" s="328"/>
    </row>
    <row r="38" spans="1:25">
      <c r="A38" s="250"/>
      <c r="B38" s="258"/>
      <c r="C38" s="279"/>
      <c r="D38" s="279"/>
      <c r="E38" s="279"/>
      <c r="F38" s="279"/>
      <c r="G38" s="279"/>
      <c r="H38" s="279"/>
      <c r="I38" s="279"/>
      <c r="J38" s="279"/>
      <c r="K38" s="295"/>
      <c r="L38" s="250"/>
      <c r="M38" s="250"/>
      <c r="N38" s="250"/>
      <c r="O38" s="306"/>
      <c r="P38" s="250"/>
      <c r="Q38" s="250"/>
      <c r="R38" s="314"/>
      <c r="S38" s="279"/>
      <c r="T38" s="279"/>
      <c r="U38" s="279"/>
      <c r="V38" s="279"/>
      <c r="W38" s="279"/>
      <c r="X38" s="279"/>
      <c r="Y38" s="328"/>
    </row>
    <row r="39" spans="1:25" ht="20.65" customHeight="1">
      <c r="A39" s="250"/>
      <c r="B39" s="259"/>
      <c r="C39" s="280"/>
      <c r="D39" s="280"/>
      <c r="E39" s="280"/>
      <c r="F39" s="280"/>
      <c r="G39" s="280"/>
      <c r="H39" s="280"/>
      <c r="I39" s="280"/>
      <c r="J39" s="280"/>
      <c r="K39" s="280"/>
      <c r="L39" s="292"/>
      <c r="M39" s="292"/>
      <c r="N39" s="292"/>
      <c r="O39" s="308"/>
      <c r="P39" s="250"/>
      <c r="Q39" s="250"/>
      <c r="R39" s="314"/>
      <c r="S39" s="279"/>
      <c r="T39" s="279"/>
      <c r="U39" s="279"/>
      <c r="V39" s="279"/>
      <c r="W39" s="279"/>
      <c r="X39" s="279"/>
      <c r="Y39" s="328"/>
    </row>
    <row r="40" spans="1:25">
      <c r="A40" s="250"/>
      <c r="B40" s="250"/>
      <c r="C40" s="250"/>
      <c r="D40" s="250"/>
      <c r="E40" s="277"/>
      <c r="F40" s="277"/>
      <c r="G40" s="277"/>
      <c r="H40" s="277"/>
      <c r="I40" s="250"/>
      <c r="J40" s="250"/>
      <c r="K40" s="250"/>
      <c r="L40" s="250"/>
      <c r="M40" s="250"/>
      <c r="N40" s="250"/>
      <c r="O40" s="250"/>
      <c r="P40" s="250"/>
      <c r="Q40" s="250"/>
      <c r="R40" s="259"/>
      <c r="S40" s="280"/>
      <c r="T40" s="280"/>
      <c r="U40" s="280"/>
      <c r="V40" s="280"/>
      <c r="W40" s="280"/>
      <c r="X40" s="280"/>
      <c r="Y40" s="329"/>
    </row>
    <row r="41" spans="1:25">
      <c r="A41" s="250"/>
      <c r="B41" s="250"/>
      <c r="C41" s="250"/>
      <c r="D41" s="250"/>
      <c r="E41" s="277"/>
      <c r="F41" s="277"/>
      <c r="P41" s="250"/>
      <c r="Q41" s="250"/>
      <c r="R41" s="315"/>
      <c r="S41" s="315"/>
      <c r="T41" s="315"/>
      <c r="U41" s="315"/>
      <c r="V41" s="315"/>
      <c r="W41" s="315"/>
      <c r="X41" s="315"/>
      <c r="Y41" s="315"/>
    </row>
    <row r="42" spans="1:25">
      <c r="A42" s="250"/>
      <c r="B42" s="250"/>
      <c r="C42" s="250"/>
      <c r="D42" s="250"/>
      <c r="E42" s="250"/>
      <c r="F42" s="250"/>
      <c r="P42" s="250"/>
      <c r="Q42" s="250"/>
      <c r="R42" s="315"/>
      <c r="S42" s="315"/>
      <c r="T42" s="315"/>
      <c r="U42" s="315"/>
      <c r="V42" s="315"/>
      <c r="W42" s="315"/>
      <c r="X42" s="315"/>
      <c r="Y42" s="315"/>
    </row>
    <row r="43" spans="1:25">
      <c r="A43" s="250"/>
      <c r="B43" s="250"/>
      <c r="C43" s="250"/>
      <c r="D43" s="250"/>
      <c r="E43" s="250"/>
      <c r="F43" s="250"/>
      <c r="P43" s="250"/>
      <c r="Q43" s="250"/>
      <c r="R43" s="315"/>
      <c r="S43" s="315"/>
      <c r="T43" s="315"/>
      <c r="U43" s="315"/>
      <c r="V43" s="315"/>
      <c r="W43" s="315"/>
      <c r="X43" s="315"/>
      <c r="Y43" s="315"/>
    </row>
    <row r="44" spans="1:25">
      <c r="A44" s="250"/>
      <c r="B44" s="250"/>
      <c r="C44" s="250"/>
      <c r="D44" s="250"/>
      <c r="E44" s="250"/>
      <c r="F44" s="250"/>
      <c r="P44" s="250"/>
      <c r="Q44" s="250"/>
      <c r="R44" s="315"/>
      <c r="S44" s="315"/>
      <c r="T44" s="315"/>
      <c r="U44" s="315"/>
      <c r="V44" s="315"/>
      <c r="W44" s="315"/>
      <c r="X44" s="315"/>
      <c r="Y44" s="315"/>
    </row>
    <row r="45" spans="1:25">
      <c r="A45" s="250"/>
      <c r="B45" s="250"/>
      <c r="C45" s="250"/>
      <c r="D45" s="250"/>
      <c r="E45" s="250"/>
      <c r="F45" s="250"/>
      <c r="P45" s="250"/>
      <c r="Q45" s="250"/>
    </row>
    <row r="46" spans="1:25">
      <c r="A46" s="250"/>
      <c r="B46" s="250"/>
      <c r="C46" s="250"/>
      <c r="D46" s="250"/>
      <c r="E46" s="250"/>
      <c r="F46" s="250"/>
      <c r="P46" s="250"/>
      <c r="Q46" s="250"/>
    </row>
    <row r="47" spans="1:25">
      <c r="A47" s="250"/>
      <c r="B47" s="250"/>
      <c r="C47" s="250"/>
      <c r="D47" s="250"/>
      <c r="E47" s="250"/>
      <c r="F47" s="250"/>
      <c r="P47" s="250"/>
      <c r="Q47" s="250"/>
    </row>
    <row r="48" spans="1:25">
      <c r="A48" s="250"/>
      <c r="B48" s="250"/>
      <c r="C48" s="260"/>
      <c r="D48" s="260"/>
      <c r="E48" s="260"/>
      <c r="F48" s="260"/>
      <c r="G48" s="260"/>
      <c r="H48" s="260"/>
      <c r="I48" s="260"/>
      <c r="J48" s="260"/>
      <c r="K48" s="260"/>
      <c r="L48" s="260"/>
      <c r="M48" s="260"/>
      <c r="N48" s="260"/>
      <c r="O48" s="260"/>
      <c r="P48" s="260"/>
      <c r="Q48" s="309"/>
    </row>
    <row r="49" spans="1:17">
      <c r="A49" s="250"/>
      <c r="B49" s="260"/>
      <c r="C49" s="260"/>
      <c r="D49" s="260"/>
      <c r="E49" s="260"/>
      <c r="F49" s="260"/>
      <c r="G49" s="260"/>
      <c r="H49" s="260"/>
      <c r="I49" s="260"/>
      <c r="J49" s="260"/>
      <c r="K49" s="260"/>
      <c r="L49" s="260"/>
      <c r="M49" s="260"/>
      <c r="N49" s="260"/>
      <c r="O49" s="260"/>
      <c r="P49" s="260"/>
      <c r="Q49" s="309"/>
    </row>
    <row r="50" spans="1:17">
      <c r="A50" s="250"/>
      <c r="P50" s="260"/>
      <c r="Q50" s="309"/>
    </row>
    <row r="51" spans="1:17">
      <c r="A51" s="250"/>
      <c r="P51" s="260"/>
      <c r="Q51" s="309"/>
    </row>
    <row r="52" spans="1:17">
      <c r="A52" s="250"/>
      <c r="P52" s="260"/>
      <c r="Q52" s="309"/>
    </row>
    <row r="53" spans="1:17">
      <c r="A53" s="250"/>
      <c r="P53" s="260"/>
      <c r="Q53" s="309"/>
    </row>
    <row r="54" spans="1:17">
      <c r="A54" s="250"/>
      <c r="P54" s="260"/>
      <c r="Q54" s="309"/>
    </row>
    <row r="55" spans="1:17">
      <c r="A55" s="250"/>
      <c r="P55" s="260"/>
      <c r="Q55" s="309"/>
    </row>
    <row r="56" spans="1:17">
      <c r="A56" s="250"/>
      <c r="P56" s="260"/>
      <c r="Q56" s="309"/>
    </row>
    <row r="57" spans="1:17">
      <c r="A57" s="250"/>
      <c r="P57" s="260"/>
      <c r="Q57" s="309"/>
    </row>
    <row r="58" spans="1:17">
      <c r="A58" s="250"/>
      <c r="P58" s="260"/>
      <c r="Q58" s="309"/>
    </row>
    <row r="59" spans="1:17">
      <c r="A59" s="250"/>
      <c r="P59" s="260"/>
      <c r="Q59" s="309"/>
    </row>
    <row r="60" spans="1:17">
      <c r="A60" s="250"/>
      <c r="P60" s="260"/>
      <c r="Q60" s="309"/>
    </row>
    <row r="61" spans="1:17">
      <c r="A61" s="250"/>
      <c r="P61" s="260"/>
      <c r="Q61" s="309"/>
    </row>
    <row r="62" spans="1:17">
      <c r="A62" s="250"/>
      <c r="P62" s="260"/>
      <c r="Q62" s="309"/>
    </row>
    <row r="63" spans="1:17">
      <c r="A63" s="250"/>
      <c r="P63" s="260"/>
      <c r="Q63" s="309"/>
    </row>
    <row r="64" spans="1:17">
      <c r="A64" s="250"/>
      <c r="P64" s="260"/>
      <c r="Q64" s="309"/>
    </row>
    <row r="65" spans="1:17">
      <c r="A65" s="250"/>
      <c r="P65" s="260"/>
      <c r="Q65" s="309"/>
    </row>
    <row r="66" spans="1:17">
      <c r="A66" s="250"/>
      <c r="P66" s="260"/>
      <c r="Q66" s="309"/>
    </row>
  </sheetData>
  <mergeCells count="19">
    <mergeCell ref="R2:S2"/>
    <mergeCell ref="R14:S14"/>
    <mergeCell ref="E21:H21"/>
    <mergeCell ref="C1:C2"/>
    <mergeCell ref="D1:L2"/>
    <mergeCell ref="S6:T8"/>
    <mergeCell ref="U6:V8"/>
    <mergeCell ref="W6:W8"/>
    <mergeCell ref="S9:T10"/>
    <mergeCell ref="U9:V10"/>
    <mergeCell ref="W9:W10"/>
    <mergeCell ref="K11:K12"/>
    <mergeCell ref="N11:N12"/>
    <mergeCell ref="K14:K15"/>
    <mergeCell ref="N14:N15"/>
    <mergeCell ref="L33:L34"/>
    <mergeCell ref="M33:M34"/>
    <mergeCell ref="R16:Y40"/>
    <mergeCell ref="C31:J38"/>
  </mergeCells>
  <phoneticPr fontId="20" type="Hiragana"/>
  <dataValidations count="3">
    <dataValidation type="list" allowBlank="0" showDropDown="0" showInputMessage="1" showErrorMessage="1" sqref="C12">
      <formula1>"非該当,該当"</formula1>
    </dataValidation>
    <dataValidation type="list" allowBlank="0" showDropDown="0" showInputMessage="1" showErrorMessage="1" sqref="E23">
      <formula1>"昭和,平成,令和"</formula1>
    </dataValidation>
    <dataValidation type="list" allowBlank="0" showDropDown="0" showInputMessage="1" showErrorMessage="1" sqref="C26">
      <formula1>"１千万円以下,１千万円超２千万円以下,２千万円超"</formula1>
    </dataValidation>
  </dataValidations>
  <pageMargins left="0.7" right="0.7" top="0.75" bottom="0.75" header="0.3" footer="0.3"/>
  <pageSetup paperSize="9" scale="5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2">
    <tabColor theme="6"/>
    <pageSetUpPr fitToPage="1"/>
  </sheetPr>
  <dimension ref="A1:AN472"/>
  <sheetViews>
    <sheetView topLeftCell="A295" workbookViewId="0">
      <selection activeCell="M310" sqref="M310"/>
    </sheetView>
  </sheetViews>
  <sheetFormatPr defaultRowHeight="10.5"/>
  <cols>
    <col min="1" max="1" width="17.265625" style="330" customWidth="1"/>
    <col min="2" max="2" width="14.53125" style="330" customWidth="1"/>
    <col min="3" max="6" width="12.33203125" style="330" customWidth="1"/>
    <col min="7" max="8" width="8.3984375" style="330" customWidth="1"/>
    <col min="9" max="9" width="10.1328125" style="330" bestFit="1" customWidth="1"/>
    <col min="10" max="10" width="10.6640625" style="330" bestFit="1" customWidth="1"/>
    <col min="11" max="11" width="9.33203125" style="330" bestFit="1" customWidth="1"/>
    <col min="12" max="15" width="8.3984375" style="330" customWidth="1"/>
    <col min="16" max="16" width="9.3984375" style="330" customWidth="1"/>
    <col min="17" max="17" width="10.06640625" style="330" bestFit="1" customWidth="1"/>
    <col min="18" max="18" width="6.33203125" style="330" customWidth="1"/>
    <col min="19" max="19" width="6.86328125" style="330" customWidth="1"/>
    <col min="20" max="38" width="6.33203125" style="330" customWidth="1"/>
    <col min="39" max="39" width="5.9296875" style="330" bestFit="1" customWidth="1"/>
    <col min="40" max="16384" width="9.06640625" style="330" customWidth="1"/>
  </cols>
  <sheetData>
    <row r="1" spans="1:17" ht="12.75">
      <c r="A1" s="332" t="s">
        <v>256</v>
      </c>
      <c r="B1" s="333"/>
      <c r="C1" s="333"/>
      <c r="D1" s="333"/>
      <c r="E1" s="333"/>
      <c r="F1" s="333"/>
      <c r="G1" s="333"/>
      <c r="H1" s="333"/>
      <c r="I1" s="333"/>
      <c r="J1" s="333"/>
      <c r="K1" s="333"/>
    </row>
    <row r="2" spans="1:17">
      <c r="A2" s="333"/>
      <c r="B2" s="333"/>
      <c r="C2" s="333"/>
      <c r="D2" s="333"/>
      <c r="E2" s="333"/>
      <c r="F2" s="333"/>
      <c r="G2" s="333"/>
      <c r="H2" s="333"/>
      <c r="I2" s="333"/>
      <c r="J2" s="333"/>
      <c r="K2" s="333"/>
    </row>
    <row r="3" spans="1:17">
      <c r="A3" s="333" t="s">
        <v>258</v>
      </c>
      <c r="B3" s="333"/>
      <c r="C3" s="333"/>
      <c r="D3" s="333"/>
      <c r="E3" s="333"/>
      <c r="F3" s="333"/>
      <c r="G3" s="333"/>
      <c r="H3" s="333"/>
      <c r="I3" s="333"/>
      <c r="J3" s="333"/>
      <c r="K3" s="333"/>
    </row>
    <row r="4" spans="1:17">
      <c r="A4" s="333"/>
      <c r="B4" s="333"/>
      <c r="C4" s="333"/>
      <c r="D4" s="333"/>
      <c r="E4" s="333"/>
      <c r="F4" s="333"/>
      <c r="G4" s="333"/>
      <c r="H4" s="333"/>
      <c r="I4" s="333"/>
      <c r="J4" s="333"/>
      <c r="K4" s="333"/>
    </row>
    <row r="5" spans="1:17">
      <c r="A5" s="333"/>
      <c r="B5" s="333"/>
      <c r="C5" s="333"/>
      <c r="D5" s="333"/>
      <c r="E5" s="333"/>
      <c r="F5" s="333"/>
      <c r="G5" s="333"/>
      <c r="H5" s="333"/>
      <c r="I5" s="333"/>
      <c r="J5" s="333"/>
      <c r="K5" s="333"/>
    </row>
    <row r="6" spans="1:17">
      <c r="A6" s="334" t="s">
        <v>261</v>
      </c>
      <c r="B6" s="333"/>
      <c r="C6" s="333"/>
      <c r="D6" s="333"/>
      <c r="E6" s="333"/>
      <c r="F6" s="345" t="s">
        <v>341</v>
      </c>
      <c r="G6" s="333"/>
      <c r="H6" s="333"/>
      <c r="I6" s="333"/>
      <c r="K6" s="333"/>
    </row>
    <row r="7" spans="1:17" ht="21.75">
      <c r="A7" s="333"/>
      <c r="B7" s="365"/>
      <c r="C7" s="330" t="s">
        <v>340</v>
      </c>
      <c r="F7" s="333"/>
      <c r="G7" s="330" t="s">
        <v>132</v>
      </c>
      <c r="H7" s="358" t="s">
        <v>134</v>
      </c>
      <c r="I7" s="358" t="s">
        <v>37</v>
      </c>
      <c r="J7" s="330" t="s">
        <v>300</v>
      </c>
      <c r="K7" s="333"/>
    </row>
    <row r="8" spans="1:17" ht="11.25">
      <c r="A8" s="335" t="s">
        <v>154</v>
      </c>
      <c r="B8" s="330" t="s">
        <v>27</v>
      </c>
      <c r="C8" s="380">
        <v>8</v>
      </c>
      <c r="E8" s="403"/>
      <c r="F8" s="339" t="s">
        <v>110</v>
      </c>
      <c r="G8" s="412">
        <v>430000</v>
      </c>
      <c r="H8" s="415"/>
      <c r="I8" s="421">
        <v>100000</v>
      </c>
      <c r="J8" s="426" t="str">
        <f>G8&amp;"円＋（給与所得者等の数－1）×"&amp;I8&amp;"円"</f>
        <v>430000円＋（給与所得者等の数－1）×100000円</v>
      </c>
      <c r="K8" s="430"/>
      <c r="L8" s="430"/>
      <c r="M8" s="430"/>
      <c r="N8" s="430"/>
      <c r="O8" s="430"/>
      <c r="P8" s="430"/>
      <c r="Q8" s="430"/>
    </row>
    <row r="9" spans="1:17">
      <c r="A9" s="336" t="s">
        <v>125</v>
      </c>
      <c r="B9" s="366" t="s">
        <v>119</v>
      </c>
      <c r="C9" s="381">
        <v>6.4000000000000001e-002</v>
      </c>
      <c r="E9" s="403"/>
      <c r="F9" s="339" t="s">
        <v>111</v>
      </c>
      <c r="G9" s="413">
        <v>430000</v>
      </c>
      <c r="H9" s="374">
        <v>310000</v>
      </c>
      <c r="I9" s="422">
        <v>100000</v>
      </c>
      <c r="J9" s="427" t="str">
        <f>G9&amp;"円+"&amp;H9&amp;"円×（被保険者の数＋特定同一世帯所属者の数）
＋（給与所得者等の数－1）×"&amp;I9&amp;"円"</f>
        <v>430000円+310000円×（被保険者の数＋特定同一世帯所属者の数）
＋（給与所得者等の数－1）×100000円</v>
      </c>
      <c r="K9" s="431"/>
      <c r="L9" s="431"/>
      <c r="M9" s="431"/>
      <c r="N9" s="431"/>
      <c r="O9" s="431"/>
      <c r="P9" s="431"/>
      <c r="Q9" s="431"/>
    </row>
    <row r="10" spans="1:17" ht="11.25">
      <c r="A10" s="337"/>
      <c r="B10" s="367" t="s">
        <v>16</v>
      </c>
      <c r="C10" s="382">
        <v>25000</v>
      </c>
      <c r="E10" s="404"/>
      <c r="F10" s="339" t="s">
        <v>113</v>
      </c>
      <c r="G10" s="414">
        <v>430000</v>
      </c>
      <c r="H10" s="416">
        <v>570000</v>
      </c>
      <c r="I10" s="423">
        <v>100000</v>
      </c>
      <c r="J10" s="427" t="str">
        <f>G10&amp;"円+"&amp;H10&amp;"円×（被保険者の数＋特定同一世帯所属者の数）
＋（給与所得者等の数－1）×"&amp;I10&amp;"円"</f>
        <v>430000円+570000円×（被保険者の数＋特定同一世帯所属者の数）
＋（給与所得者等の数－1）×100000円</v>
      </c>
      <c r="K10" s="431"/>
      <c r="L10" s="431"/>
      <c r="M10" s="431"/>
      <c r="N10" s="431"/>
      <c r="O10" s="431"/>
      <c r="P10" s="431"/>
      <c r="Q10" s="431"/>
    </row>
    <row r="11" spans="1:17" ht="11.25">
      <c r="A11" s="337"/>
      <c r="B11" s="367" t="s">
        <v>130</v>
      </c>
      <c r="C11" s="382">
        <v>17500</v>
      </c>
      <c r="E11" s="404"/>
      <c r="J11" s="333"/>
      <c r="K11" s="333"/>
    </row>
    <row r="12" spans="1:17">
      <c r="A12" s="338"/>
      <c r="B12" s="368" t="s">
        <v>131</v>
      </c>
      <c r="C12" s="382">
        <v>670000</v>
      </c>
      <c r="E12" s="403"/>
      <c r="J12" s="333"/>
      <c r="K12" s="333"/>
    </row>
    <row r="13" spans="1:17">
      <c r="A13" s="335" t="s">
        <v>127</v>
      </c>
      <c r="B13" s="366" t="s">
        <v>119</v>
      </c>
      <c r="C13" s="383">
        <v>2.3e-002</v>
      </c>
    </row>
    <row r="14" spans="1:17">
      <c r="A14" s="335"/>
      <c r="B14" s="366" t="s">
        <v>16</v>
      </c>
      <c r="C14" s="382">
        <v>8200</v>
      </c>
      <c r="E14" s="404"/>
    </row>
    <row r="15" spans="1:17">
      <c r="A15" s="335"/>
      <c r="B15" s="366" t="s">
        <v>130</v>
      </c>
      <c r="C15" s="382">
        <v>7000</v>
      </c>
      <c r="E15" s="404"/>
    </row>
    <row r="16" spans="1:17">
      <c r="A16" s="335"/>
      <c r="B16" s="368" t="s">
        <v>131</v>
      </c>
      <c r="C16" s="382">
        <v>260000</v>
      </c>
      <c r="E16" s="404"/>
    </row>
    <row r="17" spans="1:16">
      <c r="A17" s="335" t="s">
        <v>128</v>
      </c>
      <c r="B17" s="366" t="s">
        <v>119</v>
      </c>
      <c r="C17" s="383">
        <v>2.3e-002</v>
      </c>
      <c r="E17" s="403"/>
    </row>
    <row r="18" spans="1:16">
      <c r="A18" s="335"/>
      <c r="B18" s="367" t="s">
        <v>16</v>
      </c>
      <c r="C18" s="382">
        <v>9500</v>
      </c>
      <c r="E18" s="404"/>
    </row>
    <row r="19" spans="1:16">
      <c r="A19" s="335"/>
      <c r="B19" s="367" t="s">
        <v>130</v>
      </c>
      <c r="C19" s="382">
        <v>6500</v>
      </c>
      <c r="E19" s="404"/>
    </row>
    <row r="20" spans="1:16">
      <c r="A20" s="335"/>
      <c r="B20" s="368" t="s">
        <v>131</v>
      </c>
      <c r="C20" s="382">
        <v>170000</v>
      </c>
      <c r="E20" s="404"/>
    </row>
    <row r="21" spans="1:16">
      <c r="A21" s="335" t="s">
        <v>182</v>
      </c>
      <c r="B21" s="366" t="s">
        <v>119</v>
      </c>
      <c r="C21" s="383">
        <v>3.0999999999999999e-003</v>
      </c>
      <c r="E21" s="404"/>
    </row>
    <row r="22" spans="1:16">
      <c r="A22" s="335"/>
      <c r="B22" s="366" t="s">
        <v>16</v>
      </c>
      <c r="C22" s="382">
        <v>1340</v>
      </c>
      <c r="E22" s="404"/>
    </row>
    <row r="23" spans="1:16">
      <c r="A23" s="335"/>
      <c r="B23" s="366" t="s">
        <v>323</v>
      </c>
      <c r="C23" s="382">
        <v>80</v>
      </c>
      <c r="E23" s="404"/>
    </row>
    <row r="24" spans="1:16">
      <c r="A24" s="335"/>
      <c r="B24" s="366" t="s">
        <v>69</v>
      </c>
      <c r="C24" s="382">
        <v>860</v>
      </c>
      <c r="E24" s="404"/>
    </row>
    <row r="25" spans="1:16">
      <c r="A25" s="335"/>
      <c r="B25" s="368" t="s">
        <v>131</v>
      </c>
      <c r="C25" s="382">
        <v>30000</v>
      </c>
      <c r="E25" s="404"/>
    </row>
    <row r="26" spans="1:16" ht="11.25">
      <c r="A26" s="339" t="s">
        <v>71</v>
      </c>
      <c r="B26" s="339" t="s">
        <v>71</v>
      </c>
      <c r="C26" s="384">
        <v>430000</v>
      </c>
      <c r="E26" s="404"/>
    </row>
    <row r="27" spans="1:16" ht="11.25">
      <c r="E27" s="333"/>
      <c r="F27" s="333"/>
      <c r="G27" s="333"/>
      <c r="H27" s="333"/>
      <c r="I27" s="333"/>
      <c r="J27" s="333"/>
      <c r="K27" s="333"/>
    </row>
    <row r="28" spans="1:16">
      <c r="A28" s="333"/>
      <c r="B28" s="333"/>
      <c r="C28" s="333"/>
      <c r="D28" s="333"/>
    </row>
    <row r="29" spans="1:16">
      <c r="A29" s="333"/>
      <c r="B29" s="333"/>
      <c r="C29" s="333"/>
      <c r="D29" s="333"/>
    </row>
    <row r="30" spans="1:16">
      <c r="A30" s="340" t="s">
        <v>295</v>
      </c>
      <c r="B30" s="369"/>
      <c r="C30" s="385"/>
      <c r="D30" s="399" t="s">
        <v>275</v>
      </c>
      <c r="H30" s="334" t="s">
        <v>138</v>
      </c>
      <c r="I30" s="399" t="s">
        <v>275</v>
      </c>
      <c r="J30" s="333"/>
      <c r="K30" s="333"/>
      <c r="L30" s="333"/>
      <c r="M30" s="333"/>
      <c r="N30" s="333"/>
      <c r="O30" s="333"/>
    </row>
    <row r="31" spans="1:16">
      <c r="A31" s="333"/>
      <c r="B31" s="333"/>
      <c r="C31" s="333"/>
      <c r="D31" s="333"/>
      <c r="H31" s="417"/>
      <c r="I31" s="333"/>
      <c r="J31" s="333"/>
      <c r="K31" s="333"/>
      <c r="L31" s="333"/>
      <c r="M31" s="333"/>
      <c r="N31" s="333"/>
      <c r="O31" s="333"/>
    </row>
    <row r="32" spans="1:16">
      <c r="A32" s="334"/>
      <c r="B32" s="334"/>
      <c r="C32" s="334" t="s">
        <v>96</v>
      </c>
      <c r="D32" s="334" t="s">
        <v>98</v>
      </c>
      <c r="E32" s="345" t="s">
        <v>99</v>
      </c>
      <c r="F32" s="345" t="s">
        <v>24</v>
      </c>
      <c r="H32" s="418" t="str">
        <f>B8&amp;C8</f>
        <v>令和8</v>
      </c>
      <c r="I32" s="333"/>
      <c r="J32" s="333"/>
      <c r="K32" s="333"/>
      <c r="L32" s="333"/>
      <c r="M32" s="333"/>
      <c r="N32" s="333"/>
      <c r="O32" s="333"/>
      <c r="P32" s="330" t="s">
        <v>62</v>
      </c>
    </row>
    <row r="33" spans="1:18">
      <c r="A33" s="334" t="s">
        <v>334</v>
      </c>
      <c r="B33" s="334"/>
      <c r="C33" s="386">
        <f>C9</f>
        <v>6.4000000000000001e-002</v>
      </c>
      <c r="D33" s="400">
        <f>C13</f>
        <v>2.3e-002</v>
      </c>
      <c r="E33" s="400">
        <f>C17</f>
        <v>2.3e-002</v>
      </c>
      <c r="F33" s="386">
        <f>C21</f>
        <v>3.0999999999999999e-003</v>
      </c>
      <c r="H33" s="419">
        <f>'【編集者】入力・計算用シート'!C8+2018</f>
        <v>2026</v>
      </c>
      <c r="I33" s="333"/>
      <c r="J33" s="333"/>
      <c r="K33" s="333"/>
      <c r="L33" s="333"/>
      <c r="M33" s="333" t="s">
        <v>255</v>
      </c>
      <c r="N33" s="333"/>
      <c r="O33" s="333"/>
      <c r="P33" s="419" t="str">
        <f>"R"&amp;C8&amp;"年度"</f>
        <v>R8年度</v>
      </c>
    </row>
    <row r="34" spans="1:18">
      <c r="A34" s="334" t="s">
        <v>16</v>
      </c>
      <c r="B34" s="334" t="s">
        <v>36</v>
      </c>
      <c r="C34" s="387">
        <f>C10</f>
        <v>25000</v>
      </c>
      <c r="D34" s="387">
        <f>C14</f>
        <v>8200</v>
      </c>
      <c r="E34" s="387">
        <f>C18</f>
        <v>9500</v>
      </c>
      <c r="F34" s="387">
        <f>C22</f>
        <v>1340</v>
      </c>
      <c r="H34" s="334" t="s">
        <v>235</v>
      </c>
      <c r="I34" s="334" t="s">
        <v>219</v>
      </c>
      <c r="J34" s="334"/>
      <c r="K34" s="334" t="s">
        <v>221</v>
      </c>
      <c r="L34" s="334"/>
      <c r="M34" s="334" t="s">
        <v>219</v>
      </c>
      <c r="N34" s="334" t="s">
        <v>221</v>
      </c>
      <c r="P34" s="334" t="s">
        <v>235</v>
      </c>
      <c r="Q34" s="345" t="s">
        <v>219</v>
      </c>
      <c r="R34" s="345" t="s">
        <v>221</v>
      </c>
    </row>
    <row r="35" spans="1:18">
      <c r="A35" s="334"/>
      <c r="B35" s="334" t="s">
        <v>335</v>
      </c>
      <c r="C35" s="388">
        <f>ROUNDUP(C34*0.7,0)</f>
        <v>17500</v>
      </c>
      <c r="D35" s="388">
        <f>ROUNDUP(D34*0.7,0)</f>
        <v>5740</v>
      </c>
      <c r="E35" s="388">
        <f>ROUNDUP(E34*0.7,0)</f>
        <v>6650</v>
      </c>
      <c r="F35" s="388">
        <f>ROUNDUP(F34*0.7,0)</f>
        <v>938</v>
      </c>
      <c r="H35" s="334" t="s">
        <v>0</v>
      </c>
      <c r="I35" s="424">
        <f>$H$33-6</f>
        <v>2020</v>
      </c>
      <c r="J35" s="428">
        <v>402</v>
      </c>
      <c r="K35" s="425"/>
      <c r="L35" s="425"/>
      <c r="M35" s="424">
        <f t="shared" ref="M35:M41" si="0">VALUE(I35&amp;0&amp;J35)</f>
        <v>20200402</v>
      </c>
      <c r="N35" s="425"/>
      <c r="P35" s="334" t="s">
        <v>0</v>
      </c>
      <c r="Q35" s="429">
        <f t="shared" ref="Q35:Q40" si="1">DATEVALUE(I35&amp;"年4月2日")</f>
        <v>43923</v>
      </c>
      <c r="R35" s="425"/>
    </row>
    <row r="36" spans="1:18">
      <c r="A36" s="334"/>
      <c r="B36" s="334" t="s">
        <v>336</v>
      </c>
      <c r="C36" s="388">
        <f>ROUNDUP(C34*0.5,0)</f>
        <v>12500</v>
      </c>
      <c r="D36" s="388">
        <f>ROUNDUP(D34*0.5,0)</f>
        <v>4100</v>
      </c>
      <c r="E36" s="388">
        <f>ROUNDUP(E34*0.5,0)</f>
        <v>4750</v>
      </c>
      <c r="F36" s="388">
        <f>ROUNDUP(F34*0.5,0)</f>
        <v>670</v>
      </c>
      <c r="H36" s="334" t="s">
        <v>186</v>
      </c>
      <c r="I36" s="424">
        <f>$H$33-18</f>
        <v>2008</v>
      </c>
      <c r="J36" s="428">
        <v>402</v>
      </c>
      <c r="K36" s="425"/>
      <c r="L36" s="425"/>
      <c r="M36" s="424">
        <f t="shared" si="0"/>
        <v>20080402</v>
      </c>
      <c r="N36" s="425"/>
      <c r="P36" s="334" t="s">
        <v>186</v>
      </c>
      <c r="Q36" s="429">
        <f t="shared" si="1"/>
        <v>39540</v>
      </c>
      <c r="R36" s="425"/>
    </row>
    <row r="37" spans="1:18">
      <c r="A37" s="334"/>
      <c r="B37" s="334" t="s">
        <v>211</v>
      </c>
      <c r="C37" s="388">
        <f>ROUNDUP(C34*0.2,0)</f>
        <v>5000</v>
      </c>
      <c r="D37" s="388">
        <f>ROUNDUP(D34*0.2,0)</f>
        <v>1640</v>
      </c>
      <c r="E37" s="388">
        <f>ROUNDUP(E34*0.2,0)</f>
        <v>1900</v>
      </c>
      <c r="F37" s="388">
        <f>ROUNDUP(F34*0.2,0)</f>
        <v>268</v>
      </c>
      <c r="H37" s="334" t="s">
        <v>187</v>
      </c>
      <c r="I37" s="424">
        <f>$H$33-40</f>
        <v>1986</v>
      </c>
      <c r="J37" s="428">
        <v>402</v>
      </c>
      <c r="K37" s="424">
        <f>$H$33-39</f>
        <v>1987</v>
      </c>
      <c r="L37" s="424" t="str">
        <v>0401</v>
      </c>
      <c r="M37" s="424">
        <f t="shared" si="0"/>
        <v>19860402</v>
      </c>
      <c r="N37" s="424">
        <f>VALUE(K37&amp;L37)</f>
        <v>19870401</v>
      </c>
      <c r="P37" s="334" t="s">
        <v>187</v>
      </c>
      <c r="Q37" s="429">
        <f t="shared" si="1"/>
        <v>31504</v>
      </c>
      <c r="R37" s="429">
        <f>DATEVALUE(K37&amp;"年4月1日")</f>
        <v>31868</v>
      </c>
    </row>
    <row r="38" spans="1:18">
      <c r="A38" s="341" t="s">
        <v>216</v>
      </c>
      <c r="B38" s="334" t="s">
        <v>36</v>
      </c>
      <c r="C38" s="388">
        <f>C34*0.5</f>
        <v>12500</v>
      </c>
      <c r="D38" s="388">
        <f>D34*0.5</f>
        <v>4100</v>
      </c>
      <c r="E38" s="405"/>
      <c r="F38" s="388">
        <f>F34*0.5</f>
        <v>670</v>
      </c>
      <c r="H38" s="334" t="s">
        <v>188</v>
      </c>
      <c r="I38" s="424">
        <f>$H$33-64</f>
        <v>1962</v>
      </c>
      <c r="J38" s="428">
        <v>402</v>
      </c>
      <c r="K38" s="424">
        <f>$H$33-40</f>
        <v>1986</v>
      </c>
      <c r="L38" s="424" t="str">
        <v>0401</v>
      </c>
      <c r="M38" s="424">
        <f t="shared" si="0"/>
        <v>19620402</v>
      </c>
      <c r="N38" s="424">
        <f>VALUE(K38&amp;L38)</f>
        <v>19860401</v>
      </c>
      <c r="P38" s="334" t="s">
        <v>188</v>
      </c>
      <c r="Q38" s="429">
        <f t="shared" si="1"/>
        <v>22738</v>
      </c>
      <c r="R38" s="429">
        <f>DATEVALUE(K38&amp;"年4月1日")</f>
        <v>31503</v>
      </c>
    </row>
    <row r="39" spans="1:18">
      <c r="A39" s="334"/>
      <c r="B39" s="334" t="s">
        <v>335</v>
      </c>
      <c r="C39" s="388">
        <f>(C34-C35)*0.5</f>
        <v>3750</v>
      </c>
      <c r="D39" s="388">
        <f>(D34-D35)*0.5</f>
        <v>1230</v>
      </c>
      <c r="E39" s="405"/>
      <c r="F39" s="388">
        <f>(F34-F35)*0.5</f>
        <v>201</v>
      </c>
      <c r="H39" s="334" t="s">
        <v>189</v>
      </c>
      <c r="I39" s="424">
        <f>$H$33-65</f>
        <v>1961</v>
      </c>
      <c r="J39" s="428">
        <v>402</v>
      </c>
      <c r="K39" s="424">
        <f>$H$33-64</f>
        <v>1962</v>
      </c>
      <c r="L39" s="424" t="str">
        <v>0401</v>
      </c>
      <c r="M39" s="424">
        <f t="shared" si="0"/>
        <v>19610402</v>
      </c>
      <c r="N39" s="424">
        <f>VALUE(K39&amp;L39)</f>
        <v>19620401</v>
      </c>
      <c r="P39" s="334" t="s">
        <v>189</v>
      </c>
      <c r="Q39" s="429">
        <f t="shared" si="1"/>
        <v>22373</v>
      </c>
      <c r="R39" s="429">
        <f>DATEVALUE(K39&amp;"年4月1日")</f>
        <v>22737</v>
      </c>
    </row>
    <row r="40" spans="1:18">
      <c r="A40" s="334"/>
      <c r="B40" s="334" t="s">
        <v>336</v>
      </c>
      <c r="C40" s="388">
        <f>(C34-C36)*0.5</f>
        <v>6250</v>
      </c>
      <c r="D40" s="388">
        <f>(D34-D36)*0.5</f>
        <v>2050</v>
      </c>
      <c r="E40" s="405"/>
      <c r="F40" s="388">
        <f>(F34-F36)*0.5</f>
        <v>335</v>
      </c>
      <c r="H40" s="334" t="s">
        <v>191</v>
      </c>
      <c r="I40" s="424">
        <f>$H$33-75</f>
        <v>1951</v>
      </c>
      <c r="J40" s="428">
        <v>402</v>
      </c>
      <c r="K40" s="424">
        <f>$H$33-74</f>
        <v>1952</v>
      </c>
      <c r="L40" s="424" t="str">
        <v>0401</v>
      </c>
      <c r="M40" s="424">
        <f t="shared" si="0"/>
        <v>19510402</v>
      </c>
      <c r="N40" s="424">
        <f>VALUE(K40&amp;L40)</f>
        <v>19520401</v>
      </c>
      <c r="P40" s="334" t="s">
        <v>191</v>
      </c>
      <c r="Q40" s="429">
        <f t="shared" si="1"/>
        <v>18720</v>
      </c>
      <c r="R40" s="429">
        <f>DATEVALUE(K40&amp;"年4月1日")</f>
        <v>19085</v>
      </c>
    </row>
    <row r="41" spans="1:18">
      <c r="A41" s="334"/>
      <c r="B41" s="334" t="s">
        <v>211</v>
      </c>
      <c r="C41" s="388">
        <f>(C34-C37)*0.5</f>
        <v>10000</v>
      </c>
      <c r="D41" s="388">
        <f>(D34-D37)*0.5</f>
        <v>3280</v>
      </c>
      <c r="E41" s="405"/>
      <c r="F41" s="388">
        <f>(F34-F37)*0.5</f>
        <v>536</v>
      </c>
      <c r="H41" s="420" t="s">
        <v>192</v>
      </c>
      <c r="I41" s="424">
        <f>$H$33-65</f>
        <v>1961</v>
      </c>
      <c r="J41" s="428">
        <v>102</v>
      </c>
      <c r="K41" s="425"/>
      <c r="L41" s="425"/>
      <c r="M41" s="424">
        <f t="shared" si="0"/>
        <v>19610102</v>
      </c>
      <c r="N41" s="425"/>
      <c r="P41" s="334" t="s">
        <v>192</v>
      </c>
      <c r="Q41" s="429">
        <f>DATEVALUE(I41&amp;"年1月2日")</f>
        <v>22283</v>
      </c>
      <c r="R41" s="425"/>
    </row>
    <row r="42" spans="1:18">
      <c r="A42" s="341" t="s">
        <v>139</v>
      </c>
      <c r="B42" s="334" t="s">
        <v>36</v>
      </c>
      <c r="C42" s="221"/>
      <c r="D42" s="221"/>
      <c r="E42" s="405"/>
      <c r="F42" s="387">
        <f>C23</f>
        <v>80</v>
      </c>
      <c r="H42" s="334" t="s">
        <v>193</v>
      </c>
      <c r="I42" s="425"/>
      <c r="J42" s="425"/>
      <c r="K42" s="424">
        <f>$H$33-65</f>
        <v>1961</v>
      </c>
      <c r="L42" s="424" t="str">
        <v>0101</v>
      </c>
      <c r="M42" s="425"/>
      <c r="N42" s="424">
        <f>VALUE(K42&amp;L42)</f>
        <v>19610101</v>
      </c>
      <c r="P42" s="334" t="s">
        <v>193</v>
      </c>
      <c r="Q42" s="425"/>
      <c r="R42" s="429">
        <f>DATEVALUE(K42&amp;"年1月1日")</f>
        <v>22282</v>
      </c>
    </row>
    <row r="43" spans="1:18">
      <c r="A43" s="334"/>
      <c r="B43" s="334" t="s">
        <v>335</v>
      </c>
      <c r="C43" s="221"/>
      <c r="D43" s="221"/>
      <c r="E43" s="405"/>
      <c r="F43" s="388">
        <f>ROUNDUP(F42*0.7,0)</f>
        <v>56</v>
      </c>
    </row>
    <row r="44" spans="1:18">
      <c r="A44" s="334"/>
      <c r="B44" s="334" t="s">
        <v>336</v>
      </c>
      <c r="C44" s="221"/>
      <c r="D44" s="221"/>
      <c r="E44" s="405"/>
      <c r="F44" s="388">
        <f>ROUNDUP(F42*0.5,0)</f>
        <v>40</v>
      </c>
    </row>
    <row r="45" spans="1:18">
      <c r="A45" s="334"/>
      <c r="B45" s="334" t="s">
        <v>211</v>
      </c>
      <c r="C45" s="221"/>
      <c r="D45" s="221"/>
      <c r="E45" s="405"/>
      <c r="F45" s="388">
        <f>ROUNDUP(F42*0.2,0)</f>
        <v>16</v>
      </c>
    </row>
    <row r="46" spans="1:18">
      <c r="A46" s="334" t="s">
        <v>4</v>
      </c>
      <c r="B46" s="334" t="s">
        <v>338</v>
      </c>
      <c r="C46" s="387">
        <f>C11</f>
        <v>17500</v>
      </c>
      <c r="D46" s="387">
        <f>C15</f>
        <v>7000</v>
      </c>
      <c r="E46" s="387">
        <f>C19</f>
        <v>6500</v>
      </c>
      <c r="F46" s="387">
        <f>C24</f>
        <v>860</v>
      </c>
    </row>
    <row r="47" spans="1:18">
      <c r="A47" s="334"/>
      <c r="B47" s="334" t="s">
        <v>335</v>
      </c>
      <c r="C47" s="388">
        <f>ROUNDUP(C46*0.7,0)</f>
        <v>12250</v>
      </c>
      <c r="D47" s="388">
        <f>ROUNDUP(D46*0.7,0)</f>
        <v>4900</v>
      </c>
      <c r="E47" s="388">
        <f>ROUNDUP(E46*0.7,0)</f>
        <v>4550</v>
      </c>
      <c r="F47" s="388">
        <f>ROUNDUP(F46*0.7,0)</f>
        <v>602</v>
      </c>
    </row>
    <row r="48" spans="1:18">
      <c r="A48" s="334"/>
      <c r="B48" s="334" t="s">
        <v>336</v>
      </c>
      <c r="C48" s="388">
        <f>ROUNDUP(C46*0.5,0)</f>
        <v>8750</v>
      </c>
      <c r="D48" s="388">
        <f>ROUNDUP(D46*0.5,0)</f>
        <v>3500</v>
      </c>
      <c r="E48" s="388">
        <f>ROUNDUP(E46*0.5,0)</f>
        <v>3250</v>
      </c>
      <c r="F48" s="388">
        <f>ROUNDUP(F46*0.5,0)</f>
        <v>430</v>
      </c>
    </row>
    <row r="49" spans="1:16">
      <c r="A49" s="334"/>
      <c r="B49" s="334" t="s">
        <v>211</v>
      </c>
      <c r="C49" s="388">
        <f>ROUNDUP(C46*0.2,0)</f>
        <v>3500</v>
      </c>
      <c r="D49" s="388">
        <f>ROUNDUP(D46*0.2,0)</f>
        <v>1400</v>
      </c>
      <c r="E49" s="388">
        <f>ROUNDUP(E46*0.2,0)</f>
        <v>1300</v>
      </c>
      <c r="F49" s="388">
        <f>ROUNDUP(F46*0.2,0)</f>
        <v>172</v>
      </c>
    </row>
    <row r="50" spans="1:16">
      <c r="A50" s="334" t="s">
        <v>319</v>
      </c>
      <c r="B50" s="334"/>
      <c r="C50" s="387">
        <f>C12</f>
        <v>670000</v>
      </c>
      <c r="D50" s="387">
        <f>C16</f>
        <v>260000</v>
      </c>
      <c r="E50" s="387">
        <f>C20</f>
        <v>170000</v>
      </c>
      <c r="F50" s="387">
        <f>C25</f>
        <v>30000</v>
      </c>
    </row>
    <row r="51" spans="1:16">
      <c r="A51" s="341" t="s">
        <v>337</v>
      </c>
      <c r="B51" s="334" t="s">
        <v>338</v>
      </c>
      <c r="C51" s="388">
        <f>C46*0.5</f>
        <v>8750</v>
      </c>
      <c r="D51" s="388">
        <f>D46*0.5</f>
        <v>3500</v>
      </c>
      <c r="E51" s="405"/>
      <c r="F51" s="388">
        <f>F46*0.5</f>
        <v>430</v>
      </c>
    </row>
    <row r="52" spans="1:16">
      <c r="A52" s="334"/>
      <c r="B52" s="334" t="s">
        <v>335</v>
      </c>
      <c r="C52" s="388">
        <f>ROUNDUP(C51*0.7,0)</f>
        <v>6125</v>
      </c>
      <c r="D52" s="388">
        <f>ROUNDUP(D51*0.7,0)</f>
        <v>2450</v>
      </c>
      <c r="E52" s="221"/>
      <c r="F52" s="388">
        <f>ROUNDUP(F51*0.7,0)</f>
        <v>301</v>
      </c>
    </row>
    <row r="53" spans="1:16">
      <c r="A53" s="334"/>
      <c r="B53" s="334" t="s">
        <v>336</v>
      </c>
      <c r="C53" s="388">
        <f>ROUNDUP(C51*0.5,0)</f>
        <v>4375</v>
      </c>
      <c r="D53" s="388">
        <f>ROUNDUP(D51*0.5,0)</f>
        <v>1750</v>
      </c>
      <c r="E53" s="221"/>
      <c r="F53" s="388">
        <f>ROUNDUP(F51*0.5,0)</f>
        <v>215</v>
      </c>
    </row>
    <row r="54" spans="1:16">
      <c r="A54" s="334"/>
      <c r="B54" s="334" t="s">
        <v>211</v>
      </c>
      <c r="C54" s="388">
        <f>ROUNDUP(C51*0.2,0)</f>
        <v>1750</v>
      </c>
      <c r="D54" s="388">
        <f>ROUNDUP(D51*0.2,0)</f>
        <v>700</v>
      </c>
      <c r="E54" s="221"/>
      <c r="F54" s="388">
        <f>ROUNDUP(F51*0.2,0)</f>
        <v>86</v>
      </c>
    </row>
    <row r="55" spans="1:16">
      <c r="A55" s="341" t="s">
        <v>297</v>
      </c>
      <c r="B55" s="334" t="s">
        <v>338</v>
      </c>
      <c r="C55" s="388">
        <f>C46*3/4</f>
        <v>13125</v>
      </c>
      <c r="D55" s="388">
        <f>D46*3/4</f>
        <v>5250</v>
      </c>
      <c r="E55" s="221"/>
      <c r="F55" s="388">
        <f>F46*3/4</f>
        <v>645</v>
      </c>
    </row>
    <row r="56" spans="1:16">
      <c r="A56" s="334"/>
      <c r="B56" s="334" t="s">
        <v>335</v>
      </c>
      <c r="C56" s="388">
        <f>ROUNDUP(C55*0.7,0)</f>
        <v>9188</v>
      </c>
      <c r="D56" s="388">
        <f>ROUNDUP(D55*0.7,0)</f>
        <v>3675</v>
      </c>
      <c r="E56" s="221"/>
      <c r="F56" s="388">
        <f>ROUNDUP(F55*0.7,0)</f>
        <v>452</v>
      </c>
    </row>
    <row r="57" spans="1:16">
      <c r="A57" s="334"/>
      <c r="B57" s="334" t="s">
        <v>336</v>
      </c>
      <c r="C57" s="388">
        <f>ROUNDUP(C55*0.5,0)</f>
        <v>6563</v>
      </c>
      <c r="D57" s="388">
        <f>ROUNDUP(D55*0.5,0)</f>
        <v>2625</v>
      </c>
      <c r="E57" s="221"/>
      <c r="F57" s="388">
        <f>ROUNDUP(F55*0.5,0)</f>
        <v>323</v>
      </c>
      <c r="K57" s="432"/>
      <c r="N57" s="433"/>
      <c r="P57" s="409"/>
    </row>
    <row r="58" spans="1:16">
      <c r="A58" s="334"/>
      <c r="B58" s="334" t="s">
        <v>211</v>
      </c>
      <c r="C58" s="388">
        <f>ROUNDUP(C55*0.2,0)</f>
        <v>2625</v>
      </c>
      <c r="D58" s="388">
        <f>ROUNDUP(D55*0.2,0)</f>
        <v>1050</v>
      </c>
      <c r="E58" s="221"/>
      <c r="F58" s="388">
        <f>ROUNDUP(F55*0.2,0)</f>
        <v>129</v>
      </c>
    </row>
    <row r="59" spans="1:16">
      <c r="A59" s="342"/>
      <c r="B59" s="333" t="s">
        <v>13</v>
      </c>
      <c r="C59" s="333"/>
      <c r="D59" s="333"/>
    </row>
    <row r="60" spans="1:16">
      <c r="A60" s="342"/>
      <c r="B60" s="333"/>
      <c r="C60" s="333"/>
      <c r="D60" s="333"/>
    </row>
    <row r="61" spans="1:16">
      <c r="A61" s="342"/>
      <c r="B61" s="333"/>
      <c r="C61" s="333"/>
      <c r="D61" s="333"/>
    </row>
    <row r="62" spans="1:16">
      <c r="A62" s="342"/>
      <c r="B62" s="333"/>
      <c r="C62" s="333"/>
      <c r="D62" s="333"/>
    </row>
    <row r="63" spans="1:16">
      <c r="A63" s="342"/>
      <c r="B63" s="333"/>
      <c r="C63" s="333"/>
      <c r="D63" s="333"/>
    </row>
    <row r="64" spans="1:16">
      <c r="A64" s="342"/>
      <c r="B64" s="333"/>
      <c r="C64" s="333"/>
      <c r="D64" s="333"/>
    </row>
    <row r="65" spans="1:14">
      <c r="A65" s="333"/>
      <c r="B65" s="333"/>
      <c r="C65" s="333"/>
      <c r="D65" s="333"/>
      <c r="E65" s="333"/>
      <c r="H65" s="333"/>
      <c r="I65" s="333"/>
      <c r="J65" s="333"/>
      <c r="K65" s="333"/>
    </row>
    <row r="66" spans="1:14" ht="12.75">
      <c r="A66" s="332" t="s">
        <v>70</v>
      </c>
      <c r="I66" s="333"/>
      <c r="J66" s="333"/>
      <c r="K66" s="333"/>
    </row>
    <row r="67" spans="1:14">
      <c r="J67" s="333"/>
      <c r="K67" s="333"/>
    </row>
    <row r="68" spans="1:14">
      <c r="A68" s="333" t="s">
        <v>260</v>
      </c>
      <c r="E68" s="406" t="s">
        <v>30</v>
      </c>
      <c r="F68" s="349"/>
      <c r="J68" s="333"/>
      <c r="K68" s="333"/>
    </row>
    <row r="69" spans="1:14">
      <c r="E69" s="407" t="s">
        <v>222</v>
      </c>
      <c r="F69" s="410">
        <f>MATCH(E69,A:A,0)</f>
        <v>75</v>
      </c>
      <c r="J69" s="333"/>
      <c r="K69" s="333"/>
    </row>
    <row r="70" spans="1:14">
      <c r="E70" s="407" t="s">
        <v>262</v>
      </c>
      <c r="F70" s="410">
        <f>MATCH(E70,A:A,0)</f>
        <v>301</v>
      </c>
      <c r="J70" s="333"/>
      <c r="K70" s="333"/>
    </row>
    <row r="71" spans="1:14">
      <c r="E71" s="407" t="s">
        <v>147</v>
      </c>
      <c r="F71" s="410">
        <f>MATCH(E71,A:A,0)</f>
        <v>310</v>
      </c>
      <c r="J71" s="333"/>
      <c r="K71" s="333"/>
    </row>
    <row r="72" spans="1:14">
      <c r="E72" s="408" t="s">
        <v>264</v>
      </c>
      <c r="F72" s="411">
        <f>MATCH(E72,A:A,0)</f>
        <v>380</v>
      </c>
      <c r="I72" s="333"/>
      <c r="J72" s="333"/>
      <c r="K72" s="333"/>
    </row>
    <row r="73" spans="1:14">
      <c r="I73" s="333"/>
      <c r="J73" s="333"/>
      <c r="K73" s="333"/>
    </row>
    <row r="75" spans="1:14" s="330" customFormat="1">
      <c r="A75" s="343" t="s">
        <v>222</v>
      </c>
      <c r="B75" s="330"/>
      <c r="C75" s="330"/>
      <c r="D75" s="330"/>
      <c r="E75" s="330"/>
      <c r="F75" s="330"/>
      <c r="G75" s="330"/>
      <c r="H75" s="330"/>
      <c r="I75" s="330"/>
      <c r="J75" s="330"/>
      <c r="K75" s="330"/>
      <c r="L75" s="330"/>
      <c r="M75" s="330"/>
      <c r="N75" s="330"/>
    </row>
    <row r="76" spans="1:14" s="330" customFormat="1">
      <c r="A76" s="330"/>
      <c r="B76" s="330"/>
      <c r="C76" s="330"/>
      <c r="D76" s="330"/>
      <c r="E76" s="330"/>
      <c r="F76" s="330"/>
      <c r="G76" s="330"/>
      <c r="H76" s="330"/>
      <c r="I76" s="330"/>
      <c r="J76" s="330"/>
      <c r="K76" s="330"/>
      <c r="L76" s="330"/>
      <c r="M76" s="330"/>
      <c r="N76" s="330"/>
    </row>
    <row r="77" spans="1:14" s="330" customFormat="1">
      <c r="A77" s="344" t="s">
        <v>49</v>
      </c>
      <c r="B77" s="330"/>
      <c r="C77" s="330"/>
      <c r="D77" s="330"/>
      <c r="E77" s="330"/>
      <c r="F77" s="330"/>
      <c r="G77" s="344"/>
      <c r="H77" s="330"/>
      <c r="I77" s="330"/>
      <c r="J77" s="330"/>
      <c r="K77" s="330"/>
      <c r="L77" s="330"/>
      <c r="M77" s="333"/>
      <c r="N77" s="330"/>
    </row>
    <row r="78" spans="1:14" s="330" customFormat="1">
      <c r="A78" s="330"/>
      <c r="B78" s="330"/>
      <c r="C78" s="389"/>
      <c r="D78" s="330"/>
      <c r="E78" s="330"/>
      <c r="F78" s="330"/>
      <c r="G78" s="344"/>
      <c r="H78" s="330"/>
      <c r="I78" s="330"/>
      <c r="J78" s="330" t="s">
        <v>283</v>
      </c>
      <c r="K78" s="330"/>
      <c r="L78" s="330"/>
      <c r="M78" s="333"/>
      <c r="N78" s="330"/>
    </row>
    <row r="79" spans="1:14" s="330" customFormat="1">
      <c r="A79" s="345"/>
      <c r="B79" s="345" t="s">
        <v>267</v>
      </c>
      <c r="C79" s="345" t="s">
        <v>149</v>
      </c>
      <c r="D79" s="345" t="s">
        <v>145</v>
      </c>
      <c r="E79" s="345" t="s">
        <v>94</v>
      </c>
      <c r="F79" s="345" t="s">
        <v>148</v>
      </c>
      <c r="G79" s="345" t="s">
        <v>194</v>
      </c>
      <c r="H79" s="345" t="s">
        <v>11</v>
      </c>
      <c r="I79" s="345" t="s">
        <v>310</v>
      </c>
      <c r="J79" s="345" t="s">
        <v>284</v>
      </c>
      <c r="K79" s="345" t="s">
        <v>32</v>
      </c>
      <c r="L79" s="374" t="s">
        <v>0</v>
      </c>
      <c r="M79" s="345" t="s">
        <v>186</v>
      </c>
      <c r="N79" s="345" t="s">
        <v>357</v>
      </c>
    </row>
    <row r="80" spans="1:14" s="330" customFormat="1">
      <c r="A80" s="345" t="s">
        <v>81</v>
      </c>
      <c r="B80" s="345">
        <f>IF(試算シート!B7="○",1,0)</f>
        <v>0</v>
      </c>
      <c r="C80" s="374">
        <f>IF(簡易試算シート!D8=0,0,1)</f>
        <v>0</v>
      </c>
      <c r="D80" s="374">
        <f>IF(簡易試算シート!E8=0,0,1)</f>
        <v>0</v>
      </c>
      <c r="E80" s="374">
        <f>IF(簡易試算シート!F8=0,0,1)</f>
        <v>0</v>
      </c>
      <c r="F80" s="374">
        <f>IF(簡易試算シート!G8=0,0,1)</f>
        <v>0</v>
      </c>
      <c r="G80" s="374">
        <f>IF(簡易試算シート!H8=0,0,1)</f>
        <v>0</v>
      </c>
      <c r="H80" s="374">
        <f>IF(簡易試算シート!I8=0,0,1)</f>
        <v>0</v>
      </c>
      <c r="I80" s="374">
        <f>IF(簡易試算シート!J8=0,0,1)</f>
        <v>0</v>
      </c>
      <c r="J80" s="429">
        <f>IFERROR(DATEVALUE(試算シート!D7&amp;試算シート!E7&amp;試算シート!$E$6&amp;試算シート!F7&amp;試算シート!$F$6&amp;試算シート!G7&amp;試算シート!$G$6),0)</f>
        <v>0</v>
      </c>
      <c r="K80" s="345">
        <f>IF(SUM(C80:F81)=4,VALUE(TEXT(J80,"yyyymmdd")),0)</f>
        <v>0</v>
      </c>
      <c r="L80" s="346">
        <f>IF(K80&gt;=$M$35,1,0)</f>
        <v>0</v>
      </c>
      <c r="M80" s="346">
        <f>IF(K80&gt;=$M$36,1,0)</f>
        <v>0</v>
      </c>
      <c r="N80" s="346">
        <f>IF(B80=1,IF(K80&gt;=$M$38,IF(K80&lt;=$N$38,1,0),0),0)</f>
        <v>0</v>
      </c>
    </row>
    <row r="81" spans="1:14" s="330" customFormat="1">
      <c r="A81" s="345"/>
      <c r="B81" s="345"/>
      <c r="C81" s="374"/>
      <c r="D81" s="374"/>
      <c r="E81" s="374"/>
      <c r="F81" s="374"/>
      <c r="G81" s="374"/>
      <c r="H81" s="374"/>
      <c r="I81" s="374"/>
      <c r="J81" s="429"/>
      <c r="K81" s="345"/>
      <c r="L81" s="348"/>
      <c r="M81" s="348"/>
      <c r="N81" s="348"/>
    </row>
    <row r="82" spans="1:14" s="330" customFormat="1">
      <c r="A82" s="345" t="s">
        <v>90</v>
      </c>
      <c r="B82" s="345">
        <f>IF(試算シート!B9="○",1,0)</f>
        <v>0</v>
      </c>
      <c r="C82" s="374">
        <f>IF(簡易試算シート!D10=0,0,1)</f>
        <v>0</v>
      </c>
      <c r="D82" s="374">
        <f>IF(簡易試算シート!E10=0,0,1)</f>
        <v>0</v>
      </c>
      <c r="E82" s="374">
        <f>IF(簡易試算シート!F10=0,0,1)</f>
        <v>0</v>
      </c>
      <c r="F82" s="374">
        <f>IF(簡易試算シート!G10=0,0,1)</f>
        <v>0</v>
      </c>
      <c r="G82" s="374">
        <f>IF(簡易試算シート!H10=0,0,1)</f>
        <v>0</v>
      </c>
      <c r="H82" s="374">
        <f>IF(簡易試算シート!I10=0,0,1)</f>
        <v>0</v>
      </c>
      <c r="I82" s="374">
        <f>IF(簡易試算シート!J10=0,0,1)</f>
        <v>0</v>
      </c>
      <c r="J82" s="429">
        <f>IFERROR(DATEVALUE(試算シート!D9&amp;試算シート!E9&amp;試算シート!$E$6&amp;試算シート!F9&amp;試算シート!$F$6&amp;試算シート!G9&amp;試算シート!$G$6),0)</f>
        <v>0</v>
      </c>
      <c r="K82" s="345">
        <f>IF(SUM(C82:F83)=4,VALUE(TEXT(J82,"yyyymmdd")),0)</f>
        <v>0</v>
      </c>
      <c r="L82" s="346">
        <f>IF(K82&gt;=$M$35,1,0)</f>
        <v>0</v>
      </c>
      <c r="M82" s="346">
        <f>IF(K82&gt;=$M$36,1,0)</f>
        <v>0</v>
      </c>
      <c r="N82" s="346">
        <f>IF(B82=1,IF(K82&gt;=$M$38,IF(K82&lt;=$N$38,1,0),0),0)</f>
        <v>0</v>
      </c>
    </row>
    <row r="83" spans="1:14" s="330" customFormat="1">
      <c r="A83" s="345"/>
      <c r="B83" s="345"/>
      <c r="C83" s="374"/>
      <c r="D83" s="374"/>
      <c r="E83" s="374"/>
      <c r="F83" s="374"/>
      <c r="G83" s="374"/>
      <c r="H83" s="374"/>
      <c r="I83" s="374"/>
      <c r="J83" s="429"/>
      <c r="K83" s="345"/>
      <c r="L83" s="348"/>
      <c r="M83" s="348"/>
      <c r="N83" s="348"/>
    </row>
    <row r="84" spans="1:14" s="330" customFormat="1">
      <c r="A84" s="345" t="s">
        <v>83</v>
      </c>
      <c r="B84" s="345">
        <f>IF(試算シート!B11="○",1,0)</f>
        <v>0</v>
      </c>
      <c r="C84" s="374">
        <f>IF(簡易試算シート!D12=0,0,1)</f>
        <v>0</v>
      </c>
      <c r="D84" s="374">
        <f>IF(簡易試算シート!E12=0,0,1)</f>
        <v>0</v>
      </c>
      <c r="E84" s="374">
        <f>IF(簡易試算シート!F12=0,0,1)</f>
        <v>0</v>
      </c>
      <c r="F84" s="374">
        <f>IF(簡易試算シート!G12=0,0,1)</f>
        <v>0</v>
      </c>
      <c r="G84" s="374">
        <f>IF(簡易試算シート!H12=0,0,1)</f>
        <v>0</v>
      </c>
      <c r="H84" s="374">
        <f>IF(簡易試算シート!I12=0,0,1)</f>
        <v>0</v>
      </c>
      <c r="I84" s="374">
        <f>IF(簡易試算シート!J12=0,0,1)</f>
        <v>0</v>
      </c>
      <c r="J84" s="429">
        <f>IFERROR(DATEVALUE(試算シート!D11&amp;試算シート!E11&amp;試算シート!$E$6&amp;試算シート!F11&amp;試算シート!$F$6&amp;試算シート!G11&amp;試算シート!$G$6),0)</f>
        <v>0</v>
      </c>
      <c r="K84" s="345">
        <f>IF(SUM(C84:F85)=4,VALUE(TEXT(J84,"yyyymmdd")),0)</f>
        <v>0</v>
      </c>
      <c r="L84" s="346">
        <f>IF(K84&gt;=$M$35,1,0)</f>
        <v>0</v>
      </c>
      <c r="M84" s="346">
        <f>IF(K84&gt;=$M$36,1,0)</f>
        <v>0</v>
      </c>
      <c r="N84" s="346">
        <f>IF(B84=1,IF(K84&gt;=$M$38,IF(K84&lt;=$N$38,1,0),0),0)</f>
        <v>0</v>
      </c>
    </row>
    <row r="85" spans="1:14" s="330" customFormat="1">
      <c r="A85" s="345"/>
      <c r="B85" s="345"/>
      <c r="C85" s="374"/>
      <c r="D85" s="374"/>
      <c r="E85" s="374"/>
      <c r="F85" s="374"/>
      <c r="G85" s="374"/>
      <c r="H85" s="374"/>
      <c r="I85" s="374"/>
      <c r="J85" s="429"/>
      <c r="K85" s="345"/>
      <c r="L85" s="348"/>
      <c r="M85" s="348"/>
      <c r="N85" s="348"/>
    </row>
    <row r="86" spans="1:14" s="330" customFormat="1">
      <c r="A86" s="345" t="s">
        <v>268</v>
      </c>
      <c r="B86" s="345">
        <f>IF(試算シート!B13="○",1,0)</f>
        <v>0</v>
      </c>
      <c r="C86" s="374">
        <f>IF(簡易試算シート!D14=0,0,1)</f>
        <v>0</v>
      </c>
      <c r="D86" s="374">
        <f>IF(簡易試算シート!E14=0,0,1)</f>
        <v>0</v>
      </c>
      <c r="E86" s="374">
        <f>IF(簡易試算シート!F14=0,0,1)</f>
        <v>0</v>
      </c>
      <c r="F86" s="374">
        <f>IF(簡易試算シート!G14=0,0,1)</f>
        <v>0</v>
      </c>
      <c r="G86" s="374">
        <f>IF(簡易試算シート!H14=0,0,1)</f>
        <v>0</v>
      </c>
      <c r="H86" s="374">
        <f>IF(簡易試算シート!I14=0,0,1)</f>
        <v>0</v>
      </c>
      <c r="I86" s="374">
        <f>IF(簡易試算シート!J14=0,0,1)</f>
        <v>0</v>
      </c>
      <c r="J86" s="429">
        <f>IFERROR(DATEVALUE(試算シート!D13&amp;試算シート!E13&amp;試算シート!$E$6&amp;試算シート!F13&amp;試算シート!$F$6&amp;試算シート!G13&amp;試算シート!$G$6),0)</f>
        <v>0</v>
      </c>
      <c r="K86" s="345">
        <f>IF(SUM(C86:F87)=4,VALUE(TEXT(J86,"yyyymmdd")),0)</f>
        <v>0</v>
      </c>
      <c r="L86" s="346">
        <f>IF(K86&gt;=$M$35,1,0)</f>
        <v>0</v>
      </c>
      <c r="M86" s="346">
        <f>IF(K86&gt;=$M$36,1,0)</f>
        <v>0</v>
      </c>
      <c r="N86" s="346">
        <f>IF(B86=1,IF(K86&gt;=$M$38,IF(K86&lt;=$N$38,1,0),0),0)</f>
        <v>0</v>
      </c>
    </row>
    <row r="87" spans="1:14" s="330" customFormat="1">
      <c r="A87" s="345"/>
      <c r="B87" s="345"/>
      <c r="C87" s="374"/>
      <c r="D87" s="374"/>
      <c r="E87" s="374"/>
      <c r="F87" s="374"/>
      <c r="G87" s="374"/>
      <c r="H87" s="374"/>
      <c r="I87" s="374"/>
      <c r="J87" s="429"/>
      <c r="K87" s="345"/>
      <c r="L87" s="348"/>
      <c r="M87" s="348"/>
      <c r="N87" s="348"/>
    </row>
    <row r="88" spans="1:14" s="330" customFormat="1">
      <c r="A88" s="345" t="s">
        <v>86</v>
      </c>
      <c r="B88" s="345">
        <f>IF(試算シート!B15="○",1,0)</f>
        <v>0</v>
      </c>
      <c r="C88" s="374">
        <f>IF(簡易試算シート!D16=0,0,1)</f>
        <v>0</v>
      </c>
      <c r="D88" s="374">
        <f>IF(簡易試算シート!E16=0,0,1)</f>
        <v>0</v>
      </c>
      <c r="E88" s="374">
        <f>IF(簡易試算シート!F16=0,0,1)</f>
        <v>0</v>
      </c>
      <c r="F88" s="374">
        <f>IF(簡易試算シート!G16=0,0,1)</f>
        <v>0</v>
      </c>
      <c r="G88" s="374">
        <f>IF(簡易試算シート!H16=0,0,1)</f>
        <v>0</v>
      </c>
      <c r="H88" s="374">
        <f>IF(簡易試算シート!I16=0,0,1)</f>
        <v>0</v>
      </c>
      <c r="I88" s="374">
        <f>IF(簡易試算シート!J16=0,0,1)</f>
        <v>0</v>
      </c>
      <c r="J88" s="429">
        <f>IFERROR(DATEVALUE(試算シート!D15&amp;試算シート!E15&amp;試算シート!$E$6&amp;試算シート!F15&amp;試算シート!$F$6&amp;試算シート!G15&amp;試算シート!$G$6),0)</f>
        <v>0</v>
      </c>
      <c r="K88" s="345">
        <f>IF(SUM(C88:F89)=4,VALUE(TEXT(J88,"yyyymmdd")),0)</f>
        <v>0</v>
      </c>
      <c r="L88" s="346">
        <f>IF(K88&gt;=$M$35,1,0)</f>
        <v>0</v>
      </c>
      <c r="M88" s="346">
        <f>IF(K88&gt;=$M$36,1,0)</f>
        <v>0</v>
      </c>
      <c r="N88" s="346">
        <f>IF(B88=1,IF(K88&gt;=$M$38,IF(K88&lt;=$N$38,1,0),0),0)</f>
        <v>0</v>
      </c>
    </row>
    <row r="89" spans="1:14" s="330" customFormat="1">
      <c r="A89" s="345"/>
      <c r="B89" s="345"/>
      <c r="C89" s="374"/>
      <c r="D89" s="374"/>
      <c r="E89" s="374"/>
      <c r="F89" s="374"/>
      <c r="G89" s="374"/>
      <c r="H89" s="374"/>
      <c r="I89" s="374"/>
      <c r="J89" s="429"/>
      <c r="K89" s="345"/>
      <c r="L89" s="348"/>
      <c r="M89" s="348"/>
      <c r="N89" s="348"/>
    </row>
    <row r="90" spans="1:14" s="330" customFormat="1">
      <c r="A90" s="345" t="s">
        <v>146</v>
      </c>
      <c r="B90" s="345">
        <f>IF(試算シート!B17="○",1,0)</f>
        <v>0</v>
      </c>
      <c r="C90" s="374">
        <f>IF(簡易試算シート!D18=0,0,1)</f>
        <v>0</v>
      </c>
      <c r="D90" s="374">
        <f>IF(簡易試算シート!E18=0,0,1)</f>
        <v>0</v>
      </c>
      <c r="E90" s="374">
        <f>IF(簡易試算シート!F18=0,0,1)</f>
        <v>0</v>
      </c>
      <c r="F90" s="374">
        <f>IF(簡易試算シート!G18=0,0,1)</f>
        <v>0</v>
      </c>
      <c r="G90" s="374">
        <f>IF(簡易試算シート!H18=0,0,1)</f>
        <v>0</v>
      </c>
      <c r="H90" s="374">
        <f>IF(簡易試算シート!I18=0,0,1)</f>
        <v>0</v>
      </c>
      <c r="I90" s="374">
        <f>IF(簡易試算シート!J18=0,0,1)</f>
        <v>0</v>
      </c>
      <c r="J90" s="429">
        <f>IFERROR(DATEVALUE(試算シート!D17&amp;試算シート!E17&amp;試算シート!$E$6&amp;試算シート!F17&amp;試算シート!$F$6&amp;試算シート!G17&amp;試算シート!$G$6),0)</f>
        <v>0</v>
      </c>
      <c r="K90" s="345">
        <f>IF(SUM(C90:F91)=4,VALUE(TEXT(J90,"yyyymmdd")),0)</f>
        <v>0</v>
      </c>
      <c r="L90" s="346">
        <f>IF(K90&gt;=$M$35,1,0)</f>
        <v>0</v>
      </c>
      <c r="M90" s="346">
        <f>IF(K90&gt;=$M$36,1,0)</f>
        <v>0</v>
      </c>
      <c r="N90" s="346">
        <f>IF(B90=1,IF(K90&gt;=$M$38,IF(K90&lt;=$N$38,1,0),0),0)</f>
        <v>0</v>
      </c>
    </row>
    <row r="91" spans="1:14" s="330" customFormat="1">
      <c r="A91" s="345"/>
      <c r="B91" s="345"/>
      <c r="C91" s="374"/>
      <c r="D91" s="374"/>
      <c r="E91" s="374"/>
      <c r="F91" s="374"/>
      <c r="G91" s="374"/>
      <c r="H91" s="374"/>
      <c r="I91" s="374"/>
      <c r="J91" s="429"/>
      <c r="K91" s="345"/>
      <c r="L91" s="348"/>
      <c r="M91" s="348"/>
      <c r="N91" s="348"/>
    </row>
    <row r="92" spans="1:14" s="330" customFormat="1">
      <c r="A92" s="345" t="s">
        <v>89</v>
      </c>
      <c r="B92" s="345">
        <f>IF(試算シート!B19="○",1,0)</f>
        <v>0</v>
      </c>
      <c r="C92" s="374">
        <f>IF(簡易試算シート!D20=0,0,1)</f>
        <v>0</v>
      </c>
      <c r="D92" s="374">
        <f>IF(簡易試算シート!E20=0,0,1)</f>
        <v>0</v>
      </c>
      <c r="E92" s="374">
        <f>IF(簡易試算シート!F20=0,0,1)</f>
        <v>0</v>
      </c>
      <c r="F92" s="374">
        <f>IF(簡易試算シート!G20=0,0,1)</f>
        <v>0</v>
      </c>
      <c r="G92" s="374">
        <f>IF(簡易試算シート!H20=0,0,1)</f>
        <v>0</v>
      </c>
      <c r="H92" s="374">
        <f>IF(簡易試算シート!I20=0,0,1)</f>
        <v>0</v>
      </c>
      <c r="I92" s="374">
        <f>IF(簡易試算シート!J20=0,0,1)</f>
        <v>0</v>
      </c>
      <c r="J92" s="429">
        <f>IFERROR(DATEVALUE(試算シート!D19&amp;試算シート!E19&amp;試算シート!$E$6&amp;試算シート!F19&amp;試算シート!$F$6&amp;試算シート!G19&amp;試算シート!$G$6),0)</f>
        <v>0</v>
      </c>
      <c r="K92" s="345">
        <f>IF(SUM(C92:F93)=4,VALUE(TEXT(J92,"yyyymmdd")),0)</f>
        <v>0</v>
      </c>
      <c r="L92" s="346">
        <f>IF(K92&gt;=$M$35,1,0)</f>
        <v>0</v>
      </c>
      <c r="M92" s="346">
        <f>IF(K92&gt;=$M$36,1,0)</f>
        <v>0</v>
      </c>
      <c r="N92" s="346">
        <f>IF(B92=1,IF(K92&gt;=$M$38,IF(K92&lt;=$N$38,1,0),0),0)</f>
        <v>0</v>
      </c>
    </row>
    <row r="93" spans="1:14" s="330" customFormat="1">
      <c r="A93" s="345"/>
      <c r="B93" s="345"/>
      <c r="C93" s="374"/>
      <c r="D93" s="374"/>
      <c r="E93" s="374"/>
      <c r="F93" s="374"/>
      <c r="G93" s="374"/>
      <c r="H93" s="374"/>
      <c r="I93" s="374"/>
      <c r="J93" s="429"/>
      <c r="K93" s="345"/>
      <c r="L93" s="348"/>
      <c r="M93" s="348"/>
      <c r="N93" s="348"/>
    </row>
    <row r="94" spans="1:14" s="330" customFormat="1">
      <c r="A94" s="345" t="s">
        <v>240</v>
      </c>
      <c r="B94" s="345">
        <f>IF(試算シート!B21="○",1,0)</f>
        <v>0</v>
      </c>
      <c r="C94" s="374">
        <f>IF(簡易試算シート!D22=0,0,1)</f>
        <v>0</v>
      </c>
      <c r="D94" s="374">
        <f>IF(簡易試算シート!E22=0,0,1)</f>
        <v>0</v>
      </c>
      <c r="E94" s="374">
        <f>IF(簡易試算シート!F22=0,0,1)</f>
        <v>0</v>
      </c>
      <c r="F94" s="374">
        <f>IF(簡易試算シート!G22=0,0,1)</f>
        <v>0</v>
      </c>
      <c r="G94" s="374">
        <f>IF(簡易試算シート!H22=0,0,1)</f>
        <v>0</v>
      </c>
      <c r="H94" s="374">
        <f>IF(簡易試算シート!I22=0,0,1)</f>
        <v>0</v>
      </c>
      <c r="I94" s="374">
        <f>IF(簡易試算シート!J22=0,0,1)</f>
        <v>0</v>
      </c>
      <c r="J94" s="429">
        <f>IFERROR(DATEVALUE(試算シート!D21&amp;試算シート!E21&amp;試算シート!$E$6&amp;試算シート!F21&amp;試算シート!$F$6&amp;試算シート!G21&amp;試算シート!$G$6),0)</f>
        <v>0</v>
      </c>
      <c r="K94" s="345">
        <f>IF(SUM(C94:F95)=4,VALUE(TEXT(J94,"yyyymmdd")),0)</f>
        <v>0</v>
      </c>
      <c r="L94" s="346">
        <f>IF(K94&gt;=$M$35,1,0)</f>
        <v>0</v>
      </c>
      <c r="M94" s="346">
        <f>IF(K94&gt;=$M$36,1,0)</f>
        <v>0</v>
      </c>
      <c r="N94" s="346">
        <f>IF(B94=1,IF(K94&gt;=$M$38,IF(K94&lt;=$N$38,1,0),0),0)</f>
        <v>0</v>
      </c>
    </row>
    <row r="95" spans="1:14" s="330" customFormat="1">
      <c r="A95" s="345"/>
      <c r="B95" s="345"/>
      <c r="C95" s="374"/>
      <c r="D95" s="374"/>
      <c r="E95" s="374"/>
      <c r="F95" s="374"/>
      <c r="G95" s="374"/>
      <c r="H95" s="374"/>
      <c r="I95" s="374"/>
      <c r="J95" s="429"/>
      <c r="K95" s="345"/>
      <c r="L95" s="348"/>
      <c r="M95" s="348"/>
      <c r="N95" s="348"/>
    </row>
    <row r="96" spans="1:14" s="330" customFormat="1">
      <c r="A96" s="330"/>
      <c r="B96" s="345"/>
      <c r="C96" s="374">
        <f t="shared" ref="C96:I96" si="2">SUM(C80:C95)</f>
        <v>0</v>
      </c>
      <c r="D96" s="374">
        <f t="shared" si="2"/>
        <v>0</v>
      </c>
      <c r="E96" s="374">
        <f t="shared" si="2"/>
        <v>0</v>
      </c>
      <c r="F96" s="374">
        <f t="shared" si="2"/>
        <v>0</v>
      </c>
      <c r="G96" s="374">
        <f t="shared" si="2"/>
        <v>0</v>
      </c>
      <c r="H96" s="374">
        <f t="shared" si="2"/>
        <v>0</v>
      </c>
      <c r="I96" s="374">
        <f t="shared" si="2"/>
        <v>0</v>
      </c>
      <c r="J96" s="330"/>
      <c r="K96" s="330"/>
      <c r="L96" s="330"/>
      <c r="M96" s="330"/>
      <c r="N96" s="330"/>
    </row>
    <row r="97" spans="1:40" s="330" customFormat="1">
      <c r="A97" s="330"/>
      <c r="B97" s="330"/>
      <c r="C97" s="330"/>
      <c r="D97" s="330"/>
      <c r="E97" s="330"/>
      <c r="F97" s="330"/>
      <c r="G97" s="330"/>
      <c r="H97" s="330"/>
      <c r="I97" s="389">
        <f>SUM(C96:I96)</f>
        <v>0</v>
      </c>
      <c r="J97" s="330"/>
      <c r="K97" s="330"/>
      <c r="L97" s="330"/>
      <c r="M97" s="330"/>
      <c r="N97" s="330"/>
      <c r="O97" s="330"/>
      <c r="P97" s="330"/>
      <c r="Q97" s="330"/>
      <c r="R97" s="330"/>
      <c r="S97" s="330"/>
      <c r="T97" s="330"/>
      <c r="U97" s="330"/>
      <c r="V97" s="330"/>
      <c r="W97" s="330"/>
      <c r="X97" s="330"/>
      <c r="Y97" s="330"/>
      <c r="Z97" s="330"/>
      <c r="AA97" s="330"/>
      <c r="AC97" s="330"/>
      <c r="AD97" s="330"/>
      <c r="AE97" s="330"/>
      <c r="AF97" s="330"/>
      <c r="AG97" s="330"/>
      <c r="AH97" s="330"/>
      <c r="AI97" s="330"/>
      <c r="AJ97" s="330"/>
      <c r="AK97" s="330"/>
      <c r="AL97" s="330"/>
      <c r="AM97" s="330"/>
      <c r="AN97" s="330"/>
    </row>
    <row r="98" spans="1:40" s="330" customFormat="1">
      <c r="A98" s="330"/>
      <c r="B98" s="330"/>
      <c r="C98" s="330"/>
      <c r="D98" s="330"/>
      <c r="E98" s="330"/>
      <c r="F98" s="330"/>
      <c r="G98" s="330"/>
      <c r="H98" s="330"/>
      <c r="I98" s="330"/>
      <c r="J98" s="330"/>
      <c r="K98" s="330"/>
      <c r="L98" s="330"/>
      <c r="M98" s="330"/>
      <c r="N98" s="330"/>
      <c r="O98" s="330"/>
      <c r="P98" s="330"/>
      <c r="Q98" s="330"/>
      <c r="R98" s="330"/>
      <c r="S98" s="330"/>
      <c r="T98" s="330"/>
      <c r="U98" s="330"/>
      <c r="V98" s="330"/>
      <c r="W98" s="330"/>
      <c r="X98" s="330"/>
      <c r="Y98" s="330"/>
      <c r="Z98" s="330"/>
      <c r="AA98" s="330"/>
      <c r="AC98" s="330"/>
      <c r="AD98" s="330"/>
      <c r="AE98" s="330"/>
      <c r="AF98" s="330"/>
      <c r="AG98" s="330"/>
      <c r="AH98" s="330"/>
      <c r="AI98" s="330"/>
      <c r="AJ98" s="330"/>
      <c r="AK98" s="330"/>
      <c r="AL98" s="330"/>
      <c r="AM98" s="330"/>
      <c r="AN98" s="330"/>
    </row>
    <row r="99" spans="1:40" s="330" customFormat="1">
      <c r="A99" s="330"/>
      <c r="B99" s="330"/>
      <c r="C99" s="330"/>
      <c r="D99" s="330"/>
      <c r="E99" s="330"/>
      <c r="F99" s="330"/>
      <c r="G99" s="330"/>
      <c r="H99" s="330"/>
      <c r="I99" s="330"/>
      <c r="J99" s="330"/>
      <c r="K99" s="330"/>
      <c r="L99" s="330"/>
      <c r="M99" s="330"/>
      <c r="N99" s="330"/>
      <c r="O99" s="330"/>
      <c r="P99" s="330"/>
      <c r="Q99" s="330"/>
      <c r="R99" s="330"/>
      <c r="S99" s="330"/>
      <c r="T99" s="330"/>
      <c r="U99" s="330"/>
      <c r="V99" s="330"/>
      <c r="W99" s="330"/>
      <c r="X99" s="330"/>
      <c r="Y99" s="330"/>
      <c r="Z99" s="330"/>
      <c r="AA99" s="330"/>
      <c r="AC99" s="330"/>
      <c r="AD99" s="330"/>
      <c r="AE99" s="330"/>
      <c r="AF99" s="330"/>
      <c r="AG99" s="330"/>
      <c r="AH99" s="330"/>
      <c r="AI99" s="330"/>
      <c r="AJ99" s="330"/>
      <c r="AK99" s="330"/>
      <c r="AL99" s="330"/>
      <c r="AM99" s="330"/>
      <c r="AN99" s="330"/>
    </row>
    <row r="100" spans="1:40" s="330" customFormat="1">
      <c r="A100" s="330"/>
      <c r="B100" s="330"/>
      <c r="C100" s="330"/>
      <c r="D100" s="330"/>
      <c r="E100" s="330"/>
      <c r="F100" s="330"/>
      <c r="G100" s="330"/>
      <c r="H100" s="330"/>
      <c r="I100" s="330"/>
      <c r="J100" s="330"/>
      <c r="K100" s="330"/>
      <c r="L100" s="330"/>
      <c r="M100" s="330"/>
      <c r="N100" s="330"/>
      <c r="O100" s="330"/>
      <c r="P100" s="330"/>
      <c r="Q100" s="330"/>
      <c r="R100" s="330"/>
      <c r="S100" s="330"/>
      <c r="T100" s="330"/>
      <c r="U100" s="330"/>
      <c r="V100" s="330"/>
      <c r="W100" s="330"/>
      <c r="X100" s="330"/>
      <c r="Y100" s="330"/>
      <c r="Z100" s="330"/>
      <c r="AA100" s="330"/>
      <c r="AC100" s="330"/>
      <c r="AD100" s="330"/>
      <c r="AE100" s="330"/>
      <c r="AF100" s="330"/>
      <c r="AG100" s="330"/>
      <c r="AH100" s="330"/>
      <c r="AI100" s="330"/>
      <c r="AJ100" s="330"/>
      <c r="AK100" s="330"/>
      <c r="AL100" s="330"/>
      <c r="AM100" s="330"/>
      <c r="AN100" s="330"/>
    </row>
    <row r="101" spans="1:40" s="330" customFormat="1">
      <c r="A101" s="344" t="s">
        <v>160</v>
      </c>
      <c r="B101" s="330"/>
      <c r="C101" s="330"/>
      <c r="D101" s="330"/>
      <c r="E101" s="330"/>
      <c r="F101" s="330"/>
      <c r="G101" s="330"/>
      <c r="H101" s="330"/>
      <c r="I101" s="330"/>
      <c r="J101" s="330"/>
      <c r="K101" s="330"/>
      <c r="L101" s="330"/>
      <c r="M101" s="330"/>
      <c r="N101" s="330"/>
      <c r="O101" s="330"/>
      <c r="P101" s="330"/>
      <c r="Q101" s="330"/>
      <c r="R101" s="330"/>
      <c r="S101" s="330"/>
      <c r="T101" s="330"/>
      <c r="U101" s="330"/>
      <c r="V101" s="330"/>
      <c r="W101" s="330"/>
      <c r="X101" s="330"/>
      <c r="Y101" s="330"/>
      <c r="Z101" s="330"/>
      <c r="AA101" s="330"/>
      <c r="AC101" s="330"/>
      <c r="AD101" s="330"/>
      <c r="AE101" s="330"/>
      <c r="AF101" s="330"/>
      <c r="AG101" s="330"/>
      <c r="AH101" s="330"/>
      <c r="AI101" s="330"/>
      <c r="AJ101" s="330"/>
      <c r="AK101" s="330"/>
      <c r="AL101" s="330"/>
      <c r="AM101" s="330"/>
      <c r="AN101" s="330"/>
    </row>
    <row r="102" spans="1:40" s="330" customFormat="1">
      <c r="A102" s="330"/>
      <c r="B102" s="330"/>
      <c r="C102" s="330" t="s">
        <v>1</v>
      </c>
      <c r="D102" s="330"/>
      <c r="E102" s="330"/>
      <c r="F102" s="330"/>
      <c r="G102" s="330"/>
      <c r="H102" s="330"/>
      <c r="I102" s="330"/>
      <c r="J102" s="330"/>
      <c r="K102" s="330"/>
      <c r="L102" s="330"/>
      <c r="M102" s="330"/>
      <c r="N102" s="330"/>
      <c r="O102" s="330"/>
      <c r="P102" s="330" t="s">
        <v>5</v>
      </c>
      <c r="Q102" s="330"/>
      <c r="R102" s="330"/>
      <c r="S102" s="330"/>
      <c r="T102" s="330"/>
      <c r="U102" s="330"/>
      <c r="V102" s="330"/>
      <c r="W102" s="330"/>
      <c r="X102" s="330"/>
      <c r="Y102" s="330"/>
      <c r="Z102" s="330"/>
      <c r="AA102" s="330"/>
      <c r="AC102" s="330" t="s">
        <v>7</v>
      </c>
      <c r="AD102" s="330"/>
      <c r="AE102" s="330"/>
      <c r="AF102" s="330"/>
      <c r="AG102" s="330"/>
      <c r="AH102" s="330"/>
      <c r="AI102" s="330"/>
      <c r="AJ102" s="330"/>
      <c r="AK102" s="330"/>
      <c r="AL102" s="330"/>
      <c r="AM102" s="330"/>
      <c r="AN102" s="330"/>
    </row>
    <row r="103" spans="1:40" s="330" customFormat="1">
      <c r="A103" s="339"/>
      <c r="B103" s="345" t="s">
        <v>15</v>
      </c>
      <c r="C103" s="345" t="s">
        <v>40</v>
      </c>
      <c r="D103" s="345" t="s">
        <v>19</v>
      </c>
      <c r="E103" s="345" t="s">
        <v>41</v>
      </c>
      <c r="F103" s="345" t="s">
        <v>42</v>
      </c>
      <c r="G103" s="345" t="s">
        <v>44</v>
      </c>
      <c r="H103" s="345" t="s">
        <v>48</v>
      </c>
      <c r="I103" s="345" t="s">
        <v>35</v>
      </c>
      <c r="J103" s="345" t="s">
        <v>47</v>
      </c>
      <c r="K103" s="345" t="s">
        <v>50</v>
      </c>
      <c r="L103" s="345" t="s">
        <v>77</v>
      </c>
      <c r="M103" s="345" t="s">
        <v>78</v>
      </c>
      <c r="N103" s="345" t="s">
        <v>79</v>
      </c>
      <c r="O103" s="330"/>
      <c r="P103" s="345" t="s">
        <v>40</v>
      </c>
      <c r="Q103" s="345" t="s">
        <v>19</v>
      </c>
      <c r="R103" s="345" t="s">
        <v>41</v>
      </c>
      <c r="S103" s="345" t="s">
        <v>42</v>
      </c>
      <c r="T103" s="345" t="s">
        <v>44</v>
      </c>
      <c r="U103" s="345" t="s">
        <v>48</v>
      </c>
      <c r="V103" s="345" t="s">
        <v>35</v>
      </c>
      <c r="W103" s="345" t="s">
        <v>47</v>
      </c>
      <c r="X103" s="345" t="s">
        <v>50</v>
      </c>
      <c r="Y103" s="345" t="s">
        <v>77</v>
      </c>
      <c r="Z103" s="345" t="s">
        <v>78</v>
      </c>
      <c r="AA103" s="345" t="s">
        <v>79</v>
      </c>
      <c r="AC103" s="345" t="s">
        <v>40</v>
      </c>
      <c r="AD103" s="345" t="s">
        <v>19</v>
      </c>
      <c r="AE103" s="345" t="s">
        <v>41</v>
      </c>
      <c r="AF103" s="345" t="s">
        <v>42</v>
      </c>
      <c r="AG103" s="345" t="s">
        <v>44</v>
      </c>
      <c r="AH103" s="345" t="s">
        <v>48</v>
      </c>
      <c r="AI103" s="345" t="s">
        <v>35</v>
      </c>
      <c r="AJ103" s="345" t="s">
        <v>47</v>
      </c>
      <c r="AK103" s="345" t="s">
        <v>50</v>
      </c>
      <c r="AL103" s="345" t="s">
        <v>77</v>
      </c>
      <c r="AM103" s="345" t="s">
        <v>78</v>
      </c>
      <c r="AN103" s="345" t="s">
        <v>79</v>
      </c>
    </row>
    <row r="104" spans="1:40" s="330" customFormat="1">
      <c r="A104" s="345" t="s">
        <v>81</v>
      </c>
      <c r="B104" s="370">
        <f>IF(試算シート!H7="","0",試算シート!H7)</f>
        <v>0</v>
      </c>
      <c r="C104" s="345">
        <f>IF(C103=試算シート!$I$7,1,0)</f>
        <v>0</v>
      </c>
      <c r="D104" s="345">
        <f>IF(D103=試算シート!$I$7,1,0)+C104</f>
        <v>0</v>
      </c>
      <c r="E104" s="345">
        <f>IF(E103=試算シート!$I$7,1,0)+D104</f>
        <v>0</v>
      </c>
      <c r="F104" s="345">
        <f>IF(F103=試算シート!$I$7,1,0)+E104</f>
        <v>0</v>
      </c>
      <c r="G104" s="345">
        <f>IF(G103=試算シート!$I$7,1,0)+F104</f>
        <v>0</v>
      </c>
      <c r="H104" s="345">
        <f>IF(H103=試算シート!$I$7,1,0)+G104</f>
        <v>0</v>
      </c>
      <c r="I104" s="345">
        <f>IF(I103=試算シート!$I$7,1,0)+H104</f>
        <v>0</v>
      </c>
      <c r="J104" s="345">
        <f>IF(J103=試算シート!$I$7,1,0)+I104</f>
        <v>0</v>
      </c>
      <c r="K104" s="345">
        <f>IF(K103=試算シート!$I$7,1,0)+J104</f>
        <v>0</v>
      </c>
      <c r="L104" s="345">
        <f>IF(L103=試算シート!$I$7,1,0)+K104</f>
        <v>0</v>
      </c>
      <c r="M104" s="345">
        <f>IF(M103=試算シート!$I$7,1,0)+L104</f>
        <v>0</v>
      </c>
      <c r="N104" s="345">
        <f>IF(N103=試算シート!$I$7,1,0)+M104</f>
        <v>0</v>
      </c>
      <c r="O104" s="330"/>
      <c r="P104" s="345">
        <v>0</v>
      </c>
      <c r="Q104" s="345">
        <f>IF(P103=試算シート!$J$7,1,0)</f>
        <v>0</v>
      </c>
      <c r="R104" s="345">
        <f>IF(Q103=試算シート!$J$7,1,0)+Q104</f>
        <v>0</v>
      </c>
      <c r="S104" s="345">
        <f>IF(R103=試算シート!$J$7,1,0)+R104</f>
        <v>0</v>
      </c>
      <c r="T104" s="345">
        <f>IF(S103=試算シート!$J$7,1,0)+S104</f>
        <v>0</v>
      </c>
      <c r="U104" s="345">
        <f>IF(T103=試算シート!$J$7,1,0)+T104</f>
        <v>0</v>
      </c>
      <c r="V104" s="345">
        <f>IF(U103=試算シート!$J$7,1,0)+U104</f>
        <v>0</v>
      </c>
      <c r="W104" s="345">
        <f>IF(V103=試算シート!$J$7,1,0)+V104</f>
        <v>0</v>
      </c>
      <c r="X104" s="345">
        <f>IF(W103=試算シート!$J$7,1,0)+W104</f>
        <v>0</v>
      </c>
      <c r="Y104" s="345">
        <f>IF(X103=試算シート!$J$7,1,0)+X104</f>
        <v>0</v>
      </c>
      <c r="Z104" s="345">
        <f>IF(Y103=試算シート!$J$7,1,0)+Y104</f>
        <v>0</v>
      </c>
      <c r="AA104" s="345">
        <f>IF(Z103=試算シート!$J$7,1,0)+Z104</f>
        <v>0</v>
      </c>
      <c r="AC104" s="345">
        <f t="shared" ref="AC104:AN121" si="3">C104-P104</f>
        <v>0</v>
      </c>
      <c r="AD104" s="345">
        <f t="shared" si="3"/>
        <v>0</v>
      </c>
      <c r="AE104" s="345">
        <f t="shared" si="3"/>
        <v>0</v>
      </c>
      <c r="AF104" s="345">
        <f t="shared" si="3"/>
        <v>0</v>
      </c>
      <c r="AG104" s="345">
        <f t="shared" si="3"/>
        <v>0</v>
      </c>
      <c r="AH104" s="345">
        <f t="shared" si="3"/>
        <v>0</v>
      </c>
      <c r="AI104" s="345">
        <f t="shared" si="3"/>
        <v>0</v>
      </c>
      <c r="AJ104" s="345">
        <f t="shared" si="3"/>
        <v>0</v>
      </c>
      <c r="AK104" s="345">
        <f t="shared" si="3"/>
        <v>0</v>
      </c>
      <c r="AL104" s="345">
        <f t="shared" si="3"/>
        <v>0</v>
      </c>
      <c r="AM104" s="345">
        <f t="shared" si="3"/>
        <v>0</v>
      </c>
      <c r="AN104" s="345">
        <f t="shared" si="3"/>
        <v>0</v>
      </c>
    </row>
    <row r="105" spans="1:40" s="330" customFormat="1">
      <c r="A105" s="345"/>
      <c r="B105" s="371"/>
      <c r="C105" s="345">
        <f>IF(C103=試算シート!$I$8,1,0)</f>
        <v>0</v>
      </c>
      <c r="D105" s="345">
        <f>IF(D103=試算シート!$I$8,1,0)+C105</f>
        <v>0</v>
      </c>
      <c r="E105" s="345">
        <f>IF(E103=試算シート!$I$8,1,0)+D105</f>
        <v>0</v>
      </c>
      <c r="F105" s="345">
        <f>IF(F103=試算シート!$I$8,1,0)+E105</f>
        <v>0</v>
      </c>
      <c r="G105" s="345">
        <f>IF(G103=試算シート!$I$8,1,0)+F105</f>
        <v>0</v>
      </c>
      <c r="H105" s="345">
        <f>IF(H103=試算シート!$I$8,1,0)+G105</f>
        <v>0</v>
      </c>
      <c r="I105" s="345">
        <f>IF(I103=試算シート!$I$8,1,0)+H105</f>
        <v>0</v>
      </c>
      <c r="J105" s="345">
        <f>IF(J103=試算シート!$I$8,1,0)+I105</f>
        <v>0</v>
      </c>
      <c r="K105" s="345">
        <f>IF(K103=試算シート!$I$8,1,0)+J105</f>
        <v>0</v>
      </c>
      <c r="L105" s="345">
        <f>IF(L103=試算シート!$I$8,1,0)+K105</f>
        <v>0</v>
      </c>
      <c r="M105" s="345">
        <f>IF(M103=試算シート!$I$8,1,0)+L105</f>
        <v>0</v>
      </c>
      <c r="N105" s="345">
        <f>IF(N103=試算シート!$I$8,1,0)+M105</f>
        <v>0</v>
      </c>
      <c r="O105" s="330"/>
      <c r="P105" s="345">
        <v>0</v>
      </c>
      <c r="Q105" s="345">
        <f>IF(P103=試算シート!$J$8,1,0)</f>
        <v>0</v>
      </c>
      <c r="R105" s="345">
        <f>IF(Q103=試算シート!$J$8,1,0)+Q105</f>
        <v>0</v>
      </c>
      <c r="S105" s="345">
        <f>IF(R103=試算シート!$J$8,1,0)+R105</f>
        <v>0</v>
      </c>
      <c r="T105" s="345">
        <f>IF(S103=試算シート!$J$8,1,0)+S105</f>
        <v>0</v>
      </c>
      <c r="U105" s="345">
        <f>IF(T103=試算シート!$J$8,1,0)+T105</f>
        <v>0</v>
      </c>
      <c r="V105" s="345">
        <f>IF(U103=試算シート!$J$8,1,0)+U105</f>
        <v>0</v>
      </c>
      <c r="W105" s="345">
        <f>IF(V103=試算シート!$J$8,1,0)+V105</f>
        <v>0</v>
      </c>
      <c r="X105" s="345">
        <f>IF(W103=試算シート!$J$8,1,0)+W105</f>
        <v>0</v>
      </c>
      <c r="Y105" s="345">
        <f>IF(X103=試算シート!$J$8,1,0)+X105</f>
        <v>0</v>
      </c>
      <c r="Z105" s="345">
        <f>IF(Y103=試算シート!$J$8,1,0)+Y105</f>
        <v>0</v>
      </c>
      <c r="AA105" s="345">
        <f>IF(Z103=試算シート!$J$8,1,0)+Z105</f>
        <v>0</v>
      </c>
      <c r="AC105" s="345">
        <f t="shared" si="3"/>
        <v>0</v>
      </c>
      <c r="AD105" s="345">
        <f t="shared" si="3"/>
        <v>0</v>
      </c>
      <c r="AE105" s="345">
        <f t="shared" si="3"/>
        <v>0</v>
      </c>
      <c r="AF105" s="345">
        <f t="shared" si="3"/>
        <v>0</v>
      </c>
      <c r="AG105" s="345">
        <f t="shared" si="3"/>
        <v>0</v>
      </c>
      <c r="AH105" s="345">
        <f t="shared" si="3"/>
        <v>0</v>
      </c>
      <c r="AI105" s="345">
        <f t="shared" si="3"/>
        <v>0</v>
      </c>
      <c r="AJ105" s="345">
        <f t="shared" si="3"/>
        <v>0</v>
      </c>
      <c r="AK105" s="345">
        <f t="shared" si="3"/>
        <v>0</v>
      </c>
      <c r="AL105" s="345">
        <f t="shared" si="3"/>
        <v>0</v>
      </c>
      <c r="AM105" s="345">
        <f t="shared" si="3"/>
        <v>0</v>
      </c>
      <c r="AN105" s="345">
        <f t="shared" si="3"/>
        <v>0</v>
      </c>
    </row>
    <row r="106" spans="1:40" s="330" customFormat="1">
      <c r="A106" s="345" t="s">
        <v>90</v>
      </c>
      <c r="B106" s="370">
        <f>IF(試算シート!H9="","0",試算シート!H9)</f>
        <v>0</v>
      </c>
      <c r="C106" s="345">
        <f>IF(C103=試算シート!$I$9,1,0)</f>
        <v>0</v>
      </c>
      <c r="D106" s="345">
        <f>IF(D103=試算シート!$I$9,1,0)+C106</f>
        <v>0</v>
      </c>
      <c r="E106" s="345">
        <f>IF(E103=試算シート!$I$9,1,0)+D106</f>
        <v>0</v>
      </c>
      <c r="F106" s="345">
        <f>IF(F103=試算シート!$I$9,1,0)+E106</f>
        <v>0</v>
      </c>
      <c r="G106" s="345">
        <f>IF(G103=試算シート!$I$9,1,0)+F106</f>
        <v>0</v>
      </c>
      <c r="H106" s="345">
        <f>IF(H103=試算シート!$I$9,1,0)+G106</f>
        <v>0</v>
      </c>
      <c r="I106" s="345">
        <f>IF(I103=試算シート!$I$9,1,0)+H106</f>
        <v>0</v>
      </c>
      <c r="J106" s="345">
        <f>IF(J103=試算シート!$I$9,1,0)+I106</f>
        <v>0</v>
      </c>
      <c r="K106" s="345">
        <f>IF(K103=試算シート!$I$9,1,0)+J106</f>
        <v>0</v>
      </c>
      <c r="L106" s="345">
        <f>IF(L103=試算シート!$I$9,1,0)+K106</f>
        <v>0</v>
      </c>
      <c r="M106" s="345">
        <f>IF(M103=試算シート!$I$9,1,0)+L106</f>
        <v>0</v>
      </c>
      <c r="N106" s="345">
        <f>IF(N103=試算シート!$I$9,1,0)+M106</f>
        <v>0</v>
      </c>
      <c r="O106" s="330"/>
      <c r="P106" s="345">
        <v>0</v>
      </c>
      <c r="Q106" s="345">
        <f>IF(P103=試算シート!$J$9,1,0)</f>
        <v>0</v>
      </c>
      <c r="R106" s="345">
        <f>IF(Q103=試算シート!$J$9,1,0)+Q106</f>
        <v>0</v>
      </c>
      <c r="S106" s="345">
        <f>IF(R103=試算シート!$J$9,1,0)+R106</f>
        <v>0</v>
      </c>
      <c r="T106" s="345">
        <f>IF(S103=試算シート!$J$9,1,0)+S106</f>
        <v>0</v>
      </c>
      <c r="U106" s="345">
        <f>IF(T103=試算シート!$J$9,1,0)+T106</f>
        <v>0</v>
      </c>
      <c r="V106" s="345">
        <f>IF(U103=試算シート!$J$9,1,0)+U106</f>
        <v>0</v>
      </c>
      <c r="W106" s="345">
        <f>IF(V103=試算シート!$J$9,1,0)+V106</f>
        <v>0</v>
      </c>
      <c r="X106" s="345">
        <f>IF(W103=試算シート!$J$9,1,0)+W106</f>
        <v>0</v>
      </c>
      <c r="Y106" s="345">
        <f>IF(X103=試算シート!$J$9,1,0)+X106</f>
        <v>0</v>
      </c>
      <c r="Z106" s="345">
        <f>IF(Y103=試算シート!$J$9,1,0)+Y106</f>
        <v>0</v>
      </c>
      <c r="AA106" s="345">
        <f>IF(Z103=試算シート!$J$9,1,0)+Z106</f>
        <v>0</v>
      </c>
      <c r="AC106" s="345">
        <f t="shared" si="3"/>
        <v>0</v>
      </c>
      <c r="AD106" s="345">
        <f t="shared" si="3"/>
        <v>0</v>
      </c>
      <c r="AE106" s="345">
        <f t="shared" si="3"/>
        <v>0</v>
      </c>
      <c r="AF106" s="345">
        <f t="shared" si="3"/>
        <v>0</v>
      </c>
      <c r="AG106" s="345">
        <f t="shared" si="3"/>
        <v>0</v>
      </c>
      <c r="AH106" s="345">
        <f t="shared" si="3"/>
        <v>0</v>
      </c>
      <c r="AI106" s="345">
        <f t="shared" si="3"/>
        <v>0</v>
      </c>
      <c r="AJ106" s="345">
        <f t="shared" si="3"/>
        <v>0</v>
      </c>
      <c r="AK106" s="345">
        <f t="shared" si="3"/>
        <v>0</v>
      </c>
      <c r="AL106" s="345">
        <f t="shared" si="3"/>
        <v>0</v>
      </c>
      <c r="AM106" s="345">
        <f t="shared" si="3"/>
        <v>0</v>
      </c>
      <c r="AN106" s="345">
        <f t="shared" si="3"/>
        <v>0</v>
      </c>
    </row>
    <row r="107" spans="1:40" s="330" customFormat="1">
      <c r="A107" s="345"/>
      <c r="B107" s="371"/>
      <c r="C107" s="345">
        <f>IF(C103=試算シート!$I$10,1,0)</f>
        <v>0</v>
      </c>
      <c r="D107" s="345">
        <f>IF(D103=試算シート!$I$10,1,0)+C107</f>
        <v>0</v>
      </c>
      <c r="E107" s="345">
        <f>IF(E103=試算シート!$I$10,1,0)+D107</f>
        <v>0</v>
      </c>
      <c r="F107" s="345">
        <f>IF(F103=試算シート!$I$10,1,0)+E107</f>
        <v>0</v>
      </c>
      <c r="G107" s="345">
        <f>IF(G103=試算シート!$I$10,1,0)+F107</f>
        <v>0</v>
      </c>
      <c r="H107" s="345">
        <f>IF(H103=試算シート!$I$10,1,0)+G107</f>
        <v>0</v>
      </c>
      <c r="I107" s="345">
        <f>IF(I103=試算シート!$I$10,1,0)+H107</f>
        <v>0</v>
      </c>
      <c r="J107" s="345">
        <f>IF(J103=試算シート!$I$10,1,0)+I107</f>
        <v>0</v>
      </c>
      <c r="K107" s="345">
        <f>IF(K103=試算シート!$I$10,1,0)+J107</f>
        <v>0</v>
      </c>
      <c r="L107" s="345">
        <f>IF(L103=試算シート!$I$10,1,0)+K107</f>
        <v>0</v>
      </c>
      <c r="M107" s="345">
        <f>IF(M103=試算シート!$I$10,1,0)+L107</f>
        <v>0</v>
      </c>
      <c r="N107" s="345">
        <f>IF(N103=試算シート!$I$10,1,0)+M107</f>
        <v>0</v>
      </c>
      <c r="O107" s="330"/>
      <c r="P107" s="345">
        <v>0</v>
      </c>
      <c r="Q107" s="345">
        <f>IF(P103=試算シート!$J$10,1,0)</f>
        <v>0</v>
      </c>
      <c r="R107" s="345">
        <f>IF(Q103=試算シート!$J$10,1,0)+Q107</f>
        <v>0</v>
      </c>
      <c r="S107" s="345">
        <f>IF(R103=試算シート!$J$10,1,0)+R107</f>
        <v>0</v>
      </c>
      <c r="T107" s="345">
        <f>IF(S103=試算シート!$J$10,1,0)+S107</f>
        <v>0</v>
      </c>
      <c r="U107" s="345">
        <f>IF(T103=試算シート!$J$10,1,0)+T107</f>
        <v>0</v>
      </c>
      <c r="V107" s="345">
        <f>IF(U103=試算シート!$J$10,1,0)+U107</f>
        <v>0</v>
      </c>
      <c r="W107" s="345">
        <f>IF(V103=試算シート!$J$10,1,0)+V107</f>
        <v>0</v>
      </c>
      <c r="X107" s="345">
        <f>IF(W103=試算シート!$J$10,1,0)+W107</f>
        <v>0</v>
      </c>
      <c r="Y107" s="345">
        <f>IF(X103=試算シート!$J$10,1,0)+X107</f>
        <v>0</v>
      </c>
      <c r="Z107" s="345">
        <f>IF(Y103=試算シート!$J$10,1,0)+Y107</f>
        <v>0</v>
      </c>
      <c r="AA107" s="345">
        <f>IF(Z103=試算シート!$J$10,1,0)+Z107</f>
        <v>0</v>
      </c>
      <c r="AC107" s="345">
        <f t="shared" si="3"/>
        <v>0</v>
      </c>
      <c r="AD107" s="345">
        <f t="shared" si="3"/>
        <v>0</v>
      </c>
      <c r="AE107" s="345">
        <f t="shared" si="3"/>
        <v>0</v>
      </c>
      <c r="AF107" s="345">
        <f t="shared" si="3"/>
        <v>0</v>
      </c>
      <c r="AG107" s="345">
        <f t="shared" si="3"/>
        <v>0</v>
      </c>
      <c r="AH107" s="345">
        <f t="shared" si="3"/>
        <v>0</v>
      </c>
      <c r="AI107" s="345">
        <f t="shared" si="3"/>
        <v>0</v>
      </c>
      <c r="AJ107" s="345">
        <f t="shared" si="3"/>
        <v>0</v>
      </c>
      <c r="AK107" s="345">
        <f t="shared" si="3"/>
        <v>0</v>
      </c>
      <c r="AL107" s="345">
        <f t="shared" si="3"/>
        <v>0</v>
      </c>
      <c r="AM107" s="345">
        <f t="shared" si="3"/>
        <v>0</v>
      </c>
      <c r="AN107" s="345">
        <f t="shared" si="3"/>
        <v>0</v>
      </c>
    </row>
    <row r="108" spans="1:40" s="330" customFormat="1">
      <c r="A108" s="345" t="s">
        <v>83</v>
      </c>
      <c r="B108" s="370">
        <f>IF(試算シート!H11="","0",試算シート!H11)</f>
        <v>0</v>
      </c>
      <c r="C108" s="345">
        <f>IF(C103=試算シート!$I$11,1,0)</f>
        <v>0</v>
      </c>
      <c r="D108" s="345">
        <f>IF(D103=試算シート!$I$11,1,0)+C108</f>
        <v>0</v>
      </c>
      <c r="E108" s="345">
        <f>IF(E103=試算シート!$I$11,1,0)+D108</f>
        <v>0</v>
      </c>
      <c r="F108" s="345">
        <f>IF(F103=試算シート!$I$11,1,0)+E108</f>
        <v>0</v>
      </c>
      <c r="G108" s="345">
        <f>IF(G103=試算シート!$I$11,1,0)+F108</f>
        <v>0</v>
      </c>
      <c r="H108" s="345">
        <f>IF(H103=試算シート!$I$11,1,0)+G108</f>
        <v>0</v>
      </c>
      <c r="I108" s="345">
        <f>IF(I103=試算シート!$I$11,1,0)+H108</f>
        <v>0</v>
      </c>
      <c r="J108" s="345">
        <f>IF(J103=試算シート!$I$11,1,0)+I108</f>
        <v>0</v>
      </c>
      <c r="K108" s="345">
        <f>IF(K103=試算シート!$I$11,1,0)+J108</f>
        <v>0</v>
      </c>
      <c r="L108" s="345">
        <f>IF(L103=試算シート!$I$11,1,0)+K108</f>
        <v>0</v>
      </c>
      <c r="M108" s="345">
        <f>IF(M103=試算シート!$I$11,1,0)+L108</f>
        <v>0</v>
      </c>
      <c r="N108" s="345">
        <f>IF(N103=試算シート!$I$11,1,0)+M108</f>
        <v>0</v>
      </c>
      <c r="O108" s="330"/>
      <c r="P108" s="345">
        <v>0</v>
      </c>
      <c r="Q108" s="345">
        <f>IF(P103=試算シート!$J$11,1,0)</f>
        <v>0</v>
      </c>
      <c r="R108" s="345">
        <f>IF(Q103=試算シート!$J$11,1,0)+Q108</f>
        <v>0</v>
      </c>
      <c r="S108" s="345">
        <f>IF(R103=試算シート!$J$11,1,0)+R108</f>
        <v>0</v>
      </c>
      <c r="T108" s="345">
        <f>IF(S103=試算シート!$J$11,1,0)+S108</f>
        <v>0</v>
      </c>
      <c r="U108" s="345">
        <f>IF(T103=試算シート!$J$11,1,0)+T108</f>
        <v>0</v>
      </c>
      <c r="V108" s="345">
        <f>IF(U103=試算シート!$J$11,1,0)+U108</f>
        <v>0</v>
      </c>
      <c r="W108" s="345">
        <f>IF(V103=試算シート!$J$11,1,0)+V108</f>
        <v>0</v>
      </c>
      <c r="X108" s="345">
        <f>IF(W103=試算シート!$J$11,1,0)+W108</f>
        <v>0</v>
      </c>
      <c r="Y108" s="345">
        <f>IF(X103=試算シート!$J$11,1,0)+X108</f>
        <v>0</v>
      </c>
      <c r="Z108" s="345">
        <f>IF(Y103=試算シート!$J$11,1,0)+Y108</f>
        <v>0</v>
      </c>
      <c r="AA108" s="345">
        <f>IF(Z103=試算シート!$J$11,1,0)+Z108</f>
        <v>0</v>
      </c>
      <c r="AC108" s="345">
        <f t="shared" si="3"/>
        <v>0</v>
      </c>
      <c r="AD108" s="345">
        <f t="shared" si="3"/>
        <v>0</v>
      </c>
      <c r="AE108" s="345">
        <f t="shared" si="3"/>
        <v>0</v>
      </c>
      <c r="AF108" s="345">
        <f t="shared" si="3"/>
        <v>0</v>
      </c>
      <c r="AG108" s="345">
        <f t="shared" si="3"/>
        <v>0</v>
      </c>
      <c r="AH108" s="345">
        <f t="shared" si="3"/>
        <v>0</v>
      </c>
      <c r="AI108" s="345">
        <f t="shared" si="3"/>
        <v>0</v>
      </c>
      <c r="AJ108" s="345">
        <f t="shared" si="3"/>
        <v>0</v>
      </c>
      <c r="AK108" s="345">
        <f t="shared" si="3"/>
        <v>0</v>
      </c>
      <c r="AL108" s="345">
        <f t="shared" si="3"/>
        <v>0</v>
      </c>
      <c r="AM108" s="345">
        <f t="shared" si="3"/>
        <v>0</v>
      </c>
      <c r="AN108" s="345">
        <f t="shared" si="3"/>
        <v>0</v>
      </c>
    </row>
    <row r="109" spans="1:40" s="330" customFormat="1">
      <c r="A109" s="345"/>
      <c r="B109" s="371"/>
      <c r="C109" s="345">
        <f>IF(C103=試算シート!$I$12,1,0)</f>
        <v>0</v>
      </c>
      <c r="D109" s="345">
        <f>IF(D103=試算シート!$I$12,1,0)+C109</f>
        <v>0</v>
      </c>
      <c r="E109" s="345">
        <f>IF(E103=試算シート!$I$12,1,0)+D109</f>
        <v>0</v>
      </c>
      <c r="F109" s="345">
        <f>IF(F103=試算シート!$I$12,1,0)+E109</f>
        <v>0</v>
      </c>
      <c r="G109" s="345">
        <f>IF(G103=試算シート!$I$12,1,0)+F109</f>
        <v>0</v>
      </c>
      <c r="H109" s="345">
        <f>IF(H103=試算シート!$I$12,1,0)+G109</f>
        <v>0</v>
      </c>
      <c r="I109" s="345">
        <f>IF(I103=試算シート!$I$12,1,0)+H109</f>
        <v>0</v>
      </c>
      <c r="J109" s="345">
        <f>IF(J103=試算シート!$I$12,1,0)+I109</f>
        <v>0</v>
      </c>
      <c r="K109" s="345">
        <f>IF(K103=試算シート!$I$12,1,0)+J109</f>
        <v>0</v>
      </c>
      <c r="L109" s="345">
        <f>IF(L103=試算シート!$I$12,1,0)+K109</f>
        <v>0</v>
      </c>
      <c r="M109" s="345">
        <f>IF(M103=試算シート!$I$12,1,0)+L109</f>
        <v>0</v>
      </c>
      <c r="N109" s="345">
        <f>IF(N103=試算シート!$I$12,1,0)+M109</f>
        <v>0</v>
      </c>
      <c r="O109" s="330"/>
      <c r="P109" s="345">
        <v>0</v>
      </c>
      <c r="Q109" s="345">
        <f>IF(P103=試算シート!$J$12,1,0)</f>
        <v>0</v>
      </c>
      <c r="R109" s="345">
        <f>IF(Q103=試算シート!$J$12,1,0)+Q109</f>
        <v>0</v>
      </c>
      <c r="S109" s="345">
        <f>IF(R103=試算シート!$J$12,1,0)+R109</f>
        <v>0</v>
      </c>
      <c r="T109" s="345">
        <f>IF(S103=試算シート!$J$12,1,0)+S109</f>
        <v>0</v>
      </c>
      <c r="U109" s="345">
        <f>IF(T103=試算シート!$J$12,1,0)+T109</f>
        <v>0</v>
      </c>
      <c r="V109" s="345">
        <f>IF(U103=試算シート!$J$12,1,0)+U109</f>
        <v>0</v>
      </c>
      <c r="W109" s="345">
        <f>IF(V103=試算シート!$J$12,1,0)+V109</f>
        <v>0</v>
      </c>
      <c r="X109" s="345">
        <f>IF(W103=試算シート!$J$12,1,0)+W109</f>
        <v>0</v>
      </c>
      <c r="Y109" s="345">
        <f>IF(X103=試算シート!$J$12,1,0)+X109</f>
        <v>0</v>
      </c>
      <c r="Z109" s="345">
        <f>IF(Y103=試算シート!$J$12,1,0)+Y109</f>
        <v>0</v>
      </c>
      <c r="AA109" s="345">
        <f>IF(Z103=試算シート!$J$12,1,0)+Z109</f>
        <v>0</v>
      </c>
      <c r="AC109" s="345">
        <f t="shared" si="3"/>
        <v>0</v>
      </c>
      <c r="AD109" s="345">
        <f t="shared" si="3"/>
        <v>0</v>
      </c>
      <c r="AE109" s="345">
        <f t="shared" si="3"/>
        <v>0</v>
      </c>
      <c r="AF109" s="345">
        <f t="shared" si="3"/>
        <v>0</v>
      </c>
      <c r="AG109" s="345">
        <f t="shared" si="3"/>
        <v>0</v>
      </c>
      <c r="AH109" s="345">
        <f t="shared" si="3"/>
        <v>0</v>
      </c>
      <c r="AI109" s="345">
        <f t="shared" si="3"/>
        <v>0</v>
      </c>
      <c r="AJ109" s="345">
        <f t="shared" si="3"/>
        <v>0</v>
      </c>
      <c r="AK109" s="345">
        <f t="shared" si="3"/>
        <v>0</v>
      </c>
      <c r="AL109" s="345">
        <f t="shared" si="3"/>
        <v>0</v>
      </c>
      <c r="AM109" s="345">
        <f t="shared" si="3"/>
        <v>0</v>
      </c>
      <c r="AN109" s="345">
        <f t="shared" si="3"/>
        <v>0</v>
      </c>
    </row>
    <row r="110" spans="1:40" s="330" customFormat="1">
      <c r="A110" s="345" t="s">
        <v>268</v>
      </c>
      <c r="B110" s="370">
        <f>IF(試算シート!H13="","0",試算シート!H13)</f>
        <v>0</v>
      </c>
      <c r="C110" s="345">
        <f>IF(C103=試算シート!$I$13,1,0)</f>
        <v>0</v>
      </c>
      <c r="D110" s="345">
        <f>IF(D103=試算シート!$I$13,1,0)+C110</f>
        <v>0</v>
      </c>
      <c r="E110" s="345">
        <f>IF(E103=試算シート!$I$13,1,0)+D110</f>
        <v>0</v>
      </c>
      <c r="F110" s="345">
        <f>IF(F103=試算シート!$I$13,1,0)+E110</f>
        <v>0</v>
      </c>
      <c r="G110" s="345">
        <f>IF(G103=試算シート!$I$13,1,0)+F110</f>
        <v>0</v>
      </c>
      <c r="H110" s="345">
        <f>IF(H103=試算シート!$I$13,1,0)+G110</f>
        <v>0</v>
      </c>
      <c r="I110" s="345">
        <f>IF(I103=試算シート!$I$13,1,0)+H110</f>
        <v>0</v>
      </c>
      <c r="J110" s="345">
        <f>IF(J103=試算シート!$I$13,1,0)+I110</f>
        <v>0</v>
      </c>
      <c r="K110" s="345">
        <f>IF(K103=試算シート!$I$13,1,0)+J110</f>
        <v>0</v>
      </c>
      <c r="L110" s="345">
        <f>IF(L103=試算シート!$I$13,1,0)+K110</f>
        <v>0</v>
      </c>
      <c r="M110" s="345">
        <f>IF(M103=試算シート!$I$13,1,0)+L110</f>
        <v>0</v>
      </c>
      <c r="N110" s="345">
        <f>IF(N103=試算シート!$I$13,1,0)+M110</f>
        <v>0</v>
      </c>
      <c r="O110" s="330"/>
      <c r="P110" s="345">
        <v>0</v>
      </c>
      <c r="Q110" s="345">
        <f>IF(P103=試算シート!$J$13,1,0)</f>
        <v>0</v>
      </c>
      <c r="R110" s="345">
        <f>IF(Q103=試算シート!$J$13,1,0)+Q110</f>
        <v>0</v>
      </c>
      <c r="S110" s="345">
        <f>IF(R103=試算シート!$J$13,1,0)+R110</f>
        <v>0</v>
      </c>
      <c r="T110" s="345">
        <f>IF(S103=試算シート!$J$13,1,0)+S110</f>
        <v>0</v>
      </c>
      <c r="U110" s="345">
        <f>IF(T103=試算シート!$J$13,1,0)+T110</f>
        <v>0</v>
      </c>
      <c r="V110" s="345">
        <f>IF(U103=試算シート!$J$13,1,0)+U110</f>
        <v>0</v>
      </c>
      <c r="W110" s="345">
        <f>IF(V103=試算シート!$J$13,1,0)+V110</f>
        <v>0</v>
      </c>
      <c r="X110" s="345">
        <f>IF(W103=試算シート!$J$13,1,0)+W110</f>
        <v>0</v>
      </c>
      <c r="Y110" s="345">
        <f>IF(X103=試算シート!$J$13,1,0)+X110</f>
        <v>0</v>
      </c>
      <c r="Z110" s="345">
        <f>IF(Y103=試算シート!$J$13,1,0)+Y110</f>
        <v>0</v>
      </c>
      <c r="AA110" s="345">
        <f>IF(Z103=試算シート!$J$13,1,0)+Z110</f>
        <v>0</v>
      </c>
      <c r="AC110" s="345">
        <f t="shared" si="3"/>
        <v>0</v>
      </c>
      <c r="AD110" s="345">
        <f t="shared" si="3"/>
        <v>0</v>
      </c>
      <c r="AE110" s="345">
        <f t="shared" si="3"/>
        <v>0</v>
      </c>
      <c r="AF110" s="345">
        <f t="shared" si="3"/>
        <v>0</v>
      </c>
      <c r="AG110" s="345">
        <f t="shared" si="3"/>
        <v>0</v>
      </c>
      <c r="AH110" s="345">
        <f t="shared" si="3"/>
        <v>0</v>
      </c>
      <c r="AI110" s="345">
        <f t="shared" si="3"/>
        <v>0</v>
      </c>
      <c r="AJ110" s="345">
        <f t="shared" si="3"/>
        <v>0</v>
      </c>
      <c r="AK110" s="345">
        <f t="shared" si="3"/>
        <v>0</v>
      </c>
      <c r="AL110" s="345">
        <f t="shared" si="3"/>
        <v>0</v>
      </c>
      <c r="AM110" s="345">
        <f t="shared" si="3"/>
        <v>0</v>
      </c>
      <c r="AN110" s="345">
        <f t="shared" si="3"/>
        <v>0</v>
      </c>
    </row>
    <row r="111" spans="1:40" s="330" customFormat="1">
      <c r="A111" s="345"/>
      <c r="B111" s="371"/>
      <c r="C111" s="345">
        <f>IF(C103=試算シート!$I$14,1,0)</f>
        <v>0</v>
      </c>
      <c r="D111" s="345">
        <f>IF(D103=試算シート!$I$14,1,0)+C111</f>
        <v>0</v>
      </c>
      <c r="E111" s="345">
        <f>IF(E103=試算シート!$I$14,1,0)+D111</f>
        <v>0</v>
      </c>
      <c r="F111" s="345">
        <f>IF(F103=試算シート!$I$14,1,0)+E111</f>
        <v>0</v>
      </c>
      <c r="G111" s="345">
        <f>IF(G103=試算シート!$I$14,1,0)+F111</f>
        <v>0</v>
      </c>
      <c r="H111" s="345">
        <f>IF(H103=試算シート!$I$14,1,0)+G111</f>
        <v>0</v>
      </c>
      <c r="I111" s="345">
        <f>IF(I103=試算シート!$I$14,1,0)+H111</f>
        <v>0</v>
      </c>
      <c r="J111" s="345">
        <f>IF(J103=試算シート!$I$14,1,0)+I111</f>
        <v>0</v>
      </c>
      <c r="K111" s="345">
        <f>IF(K103=試算シート!$I$14,1,0)+J111</f>
        <v>0</v>
      </c>
      <c r="L111" s="345">
        <f>IF(L103=試算シート!$I$14,1,0)+K111</f>
        <v>0</v>
      </c>
      <c r="M111" s="345">
        <f>IF(M103=試算シート!$I$14,1,0)+L111</f>
        <v>0</v>
      </c>
      <c r="N111" s="345">
        <f>IF(N103=試算シート!$I$14,1,0)+M111</f>
        <v>0</v>
      </c>
      <c r="O111" s="330"/>
      <c r="P111" s="345">
        <v>0</v>
      </c>
      <c r="Q111" s="345">
        <f>IF(P103=試算シート!$J$14,1,0)</f>
        <v>0</v>
      </c>
      <c r="R111" s="345">
        <f>IF(Q103=試算シート!$J$14,1,0)+Q111</f>
        <v>0</v>
      </c>
      <c r="S111" s="345">
        <f>IF(R103=試算シート!$J$14,1,0)+R111</f>
        <v>0</v>
      </c>
      <c r="T111" s="345">
        <f>IF(S103=試算シート!$J$14,1,0)+S111</f>
        <v>0</v>
      </c>
      <c r="U111" s="345">
        <f>IF(T103=試算シート!$J$14,1,0)+T111</f>
        <v>0</v>
      </c>
      <c r="V111" s="345">
        <f>IF(U103=試算シート!$J$14,1,0)+U111</f>
        <v>0</v>
      </c>
      <c r="W111" s="345">
        <f>IF(V103=試算シート!$J$14,1,0)+V111</f>
        <v>0</v>
      </c>
      <c r="X111" s="345">
        <f>IF(W103=試算シート!$J$14,1,0)+W111</f>
        <v>0</v>
      </c>
      <c r="Y111" s="345">
        <f>IF(X103=試算シート!$J$14,1,0)+X111</f>
        <v>0</v>
      </c>
      <c r="Z111" s="345">
        <f>IF(Y103=試算シート!$J$14,1,0)+Y111</f>
        <v>0</v>
      </c>
      <c r="AA111" s="345">
        <f>IF(Z103=試算シート!$J$14,1,0)+Z111</f>
        <v>0</v>
      </c>
      <c r="AC111" s="345">
        <f t="shared" si="3"/>
        <v>0</v>
      </c>
      <c r="AD111" s="345">
        <f t="shared" si="3"/>
        <v>0</v>
      </c>
      <c r="AE111" s="345">
        <f t="shared" si="3"/>
        <v>0</v>
      </c>
      <c r="AF111" s="345">
        <f t="shared" si="3"/>
        <v>0</v>
      </c>
      <c r="AG111" s="345">
        <f t="shared" si="3"/>
        <v>0</v>
      </c>
      <c r="AH111" s="345">
        <f t="shared" si="3"/>
        <v>0</v>
      </c>
      <c r="AI111" s="345">
        <f t="shared" si="3"/>
        <v>0</v>
      </c>
      <c r="AJ111" s="345">
        <f t="shared" si="3"/>
        <v>0</v>
      </c>
      <c r="AK111" s="345">
        <f t="shared" si="3"/>
        <v>0</v>
      </c>
      <c r="AL111" s="345">
        <f t="shared" si="3"/>
        <v>0</v>
      </c>
      <c r="AM111" s="345">
        <f t="shared" si="3"/>
        <v>0</v>
      </c>
      <c r="AN111" s="345">
        <f t="shared" si="3"/>
        <v>0</v>
      </c>
    </row>
    <row r="112" spans="1:40" s="330" customFormat="1">
      <c r="A112" s="345" t="s">
        <v>86</v>
      </c>
      <c r="B112" s="370">
        <f>IF(試算シート!H15="","0",試算シート!H15)</f>
        <v>0</v>
      </c>
      <c r="C112" s="345">
        <f>IF(C103=試算シート!$I$15,1,0)</f>
        <v>0</v>
      </c>
      <c r="D112" s="345">
        <f>IF(D103=試算シート!$I$15,1,0)+C112</f>
        <v>0</v>
      </c>
      <c r="E112" s="345">
        <f>IF(E103=試算シート!$I$15,1,0)+D112</f>
        <v>0</v>
      </c>
      <c r="F112" s="345">
        <f>IF(F103=試算シート!$I$15,1,0)+E112</f>
        <v>0</v>
      </c>
      <c r="G112" s="345">
        <f>IF(G103=試算シート!$I$15,1,0)+F112</f>
        <v>0</v>
      </c>
      <c r="H112" s="345">
        <f>IF(H103=試算シート!$I$15,1,0)+G112</f>
        <v>0</v>
      </c>
      <c r="I112" s="345">
        <f>IF(I103=試算シート!$I$15,1,0)+H112</f>
        <v>0</v>
      </c>
      <c r="J112" s="345">
        <f>IF(J103=試算シート!$I$15,1,0)+I112</f>
        <v>0</v>
      </c>
      <c r="K112" s="345">
        <f>IF(K103=試算シート!$I$15,1,0)+J112</f>
        <v>0</v>
      </c>
      <c r="L112" s="345">
        <f>IF(L103=試算シート!$I$15,1,0)+K112</f>
        <v>0</v>
      </c>
      <c r="M112" s="345">
        <f>IF(M103=試算シート!$I$15,1,0)+L112</f>
        <v>0</v>
      </c>
      <c r="N112" s="345">
        <f>IF(N103=試算シート!$I$15,1,0)+M112</f>
        <v>0</v>
      </c>
      <c r="O112" s="330"/>
      <c r="P112" s="345">
        <v>0</v>
      </c>
      <c r="Q112" s="345">
        <f>IF(P103=試算シート!$J$15,1,0)</f>
        <v>0</v>
      </c>
      <c r="R112" s="345">
        <f>IF(Q103=試算シート!$J$15,1,0)+Q112</f>
        <v>0</v>
      </c>
      <c r="S112" s="345">
        <f>IF(R103=試算シート!$J$15,1,0)+R112</f>
        <v>0</v>
      </c>
      <c r="T112" s="345">
        <f>IF(S103=試算シート!$J$15,1,0)+S112</f>
        <v>0</v>
      </c>
      <c r="U112" s="345">
        <f>IF(T103=試算シート!$J$15,1,0)+T112</f>
        <v>0</v>
      </c>
      <c r="V112" s="345">
        <f>IF(U103=試算シート!$J$15,1,0)+U112</f>
        <v>0</v>
      </c>
      <c r="W112" s="345">
        <f>IF(V103=試算シート!$J$15,1,0)+V112</f>
        <v>0</v>
      </c>
      <c r="X112" s="345">
        <f>IF(W103=試算シート!$J$15,1,0)+W112</f>
        <v>0</v>
      </c>
      <c r="Y112" s="345">
        <f>IF(X103=試算シート!$J$15,1,0)+X112</f>
        <v>0</v>
      </c>
      <c r="Z112" s="345">
        <f>IF(Y103=試算シート!$J$15,1,0)+Y112</f>
        <v>0</v>
      </c>
      <c r="AA112" s="345">
        <f>IF(Z103=試算シート!$J$15,1,0)+Z112</f>
        <v>0</v>
      </c>
      <c r="AC112" s="345">
        <f t="shared" si="3"/>
        <v>0</v>
      </c>
      <c r="AD112" s="345">
        <f t="shared" si="3"/>
        <v>0</v>
      </c>
      <c r="AE112" s="345">
        <f t="shared" si="3"/>
        <v>0</v>
      </c>
      <c r="AF112" s="345">
        <f t="shared" si="3"/>
        <v>0</v>
      </c>
      <c r="AG112" s="345">
        <f t="shared" si="3"/>
        <v>0</v>
      </c>
      <c r="AH112" s="345">
        <f t="shared" si="3"/>
        <v>0</v>
      </c>
      <c r="AI112" s="345">
        <f t="shared" si="3"/>
        <v>0</v>
      </c>
      <c r="AJ112" s="345">
        <f t="shared" si="3"/>
        <v>0</v>
      </c>
      <c r="AK112" s="345">
        <f t="shared" si="3"/>
        <v>0</v>
      </c>
      <c r="AL112" s="345">
        <f t="shared" si="3"/>
        <v>0</v>
      </c>
      <c r="AM112" s="345">
        <f t="shared" si="3"/>
        <v>0</v>
      </c>
      <c r="AN112" s="345">
        <f t="shared" si="3"/>
        <v>0</v>
      </c>
    </row>
    <row r="113" spans="1:40" s="330" customFormat="1">
      <c r="A113" s="345"/>
      <c r="B113" s="371"/>
      <c r="C113" s="345">
        <f>IF(C103=試算シート!$I$16,1,0)</f>
        <v>0</v>
      </c>
      <c r="D113" s="345">
        <f>IF(D103=試算シート!$I$16,1,0)+C113</f>
        <v>0</v>
      </c>
      <c r="E113" s="345">
        <f>IF(E103=試算シート!$I$16,1,0)+D113</f>
        <v>0</v>
      </c>
      <c r="F113" s="345">
        <f>IF(F103=試算シート!$I$16,1,0)+E113</f>
        <v>0</v>
      </c>
      <c r="G113" s="345">
        <f>IF(G103=試算シート!$I$16,1,0)+F113</f>
        <v>0</v>
      </c>
      <c r="H113" s="345">
        <f>IF(H103=試算シート!$I$16,1,0)+G113</f>
        <v>0</v>
      </c>
      <c r="I113" s="345">
        <f>IF(I103=試算シート!$I$16,1,0)+H113</f>
        <v>0</v>
      </c>
      <c r="J113" s="345">
        <f>IF(J103=試算シート!$I$16,1,0)+I113</f>
        <v>0</v>
      </c>
      <c r="K113" s="345">
        <f>IF(K103=試算シート!$I$16,1,0)+J113</f>
        <v>0</v>
      </c>
      <c r="L113" s="345">
        <f>IF(L103=試算シート!$I$16,1,0)+K113</f>
        <v>0</v>
      </c>
      <c r="M113" s="345">
        <f>IF(M103=試算シート!$I$16,1,0)+L113</f>
        <v>0</v>
      </c>
      <c r="N113" s="345">
        <f>IF(N103=試算シート!$I$16,1,0)+M113</f>
        <v>0</v>
      </c>
      <c r="O113" s="330"/>
      <c r="P113" s="345">
        <v>0</v>
      </c>
      <c r="Q113" s="345">
        <f>IF(P103=試算シート!$J$16,1,0)</f>
        <v>0</v>
      </c>
      <c r="R113" s="345">
        <f>IF(Q103=試算シート!$J$16,1,0)+Q113</f>
        <v>0</v>
      </c>
      <c r="S113" s="345">
        <f>IF(R103=試算シート!$J$16,1,0)+R113</f>
        <v>0</v>
      </c>
      <c r="T113" s="345">
        <f>IF(S103=試算シート!$J$16,1,0)+S113</f>
        <v>0</v>
      </c>
      <c r="U113" s="345">
        <f>IF(T103=試算シート!$J$16,1,0)+T113</f>
        <v>0</v>
      </c>
      <c r="V113" s="345">
        <f>IF(U103=試算シート!$J$16,1,0)+U113</f>
        <v>0</v>
      </c>
      <c r="W113" s="345">
        <f>IF(V103=試算シート!$J$16,1,0)+V113</f>
        <v>0</v>
      </c>
      <c r="X113" s="345">
        <f>IF(W103=試算シート!$J$16,1,0)+W113</f>
        <v>0</v>
      </c>
      <c r="Y113" s="345">
        <f>IF(X103=試算シート!$J$16,1,0)+X113</f>
        <v>0</v>
      </c>
      <c r="Z113" s="345">
        <f>IF(Y103=試算シート!$J$16,1,0)+Y113</f>
        <v>0</v>
      </c>
      <c r="AA113" s="345">
        <f>IF(Z103=試算シート!$J$16,1,0)+Z113</f>
        <v>0</v>
      </c>
      <c r="AC113" s="345">
        <f t="shared" si="3"/>
        <v>0</v>
      </c>
      <c r="AD113" s="345">
        <f t="shared" si="3"/>
        <v>0</v>
      </c>
      <c r="AE113" s="345">
        <f t="shared" si="3"/>
        <v>0</v>
      </c>
      <c r="AF113" s="345">
        <f t="shared" si="3"/>
        <v>0</v>
      </c>
      <c r="AG113" s="345">
        <f t="shared" si="3"/>
        <v>0</v>
      </c>
      <c r="AH113" s="345">
        <f t="shared" si="3"/>
        <v>0</v>
      </c>
      <c r="AI113" s="345">
        <f t="shared" si="3"/>
        <v>0</v>
      </c>
      <c r="AJ113" s="345">
        <f t="shared" si="3"/>
        <v>0</v>
      </c>
      <c r="AK113" s="345">
        <f t="shared" si="3"/>
        <v>0</v>
      </c>
      <c r="AL113" s="345">
        <f t="shared" si="3"/>
        <v>0</v>
      </c>
      <c r="AM113" s="345">
        <f t="shared" si="3"/>
        <v>0</v>
      </c>
      <c r="AN113" s="345">
        <f t="shared" si="3"/>
        <v>0</v>
      </c>
    </row>
    <row r="114" spans="1:40" s="330" customFormat="1">
      <c r="A114" s="345" t="s">
        <v>146</v>
      </c>
      <c r="B114" s="370">
        <f>IF(試算シート!H17="","0",試算シート!H17)</f>
        <v>0</v>
      </c>
      <c r="C114" s="345">
        <f>IF(C103=試算シート!$I$17,1,0)</f>
        <v>0</v>
      </c>
      <c r="D114" s="345">
        <f>IF(D103=試算シート!$I$17,1,0)+C114</f>
        <v>0</v>
      </c>
      <c r="E114" s="345">
        <f>IF(E103=試算シート!$I$17,1,0)+D114</f>
        <v>0</v>
      </c>
      <c r="F114" s="345">
        <f>IF(F103=試算シート!$I$17,1,0)+E114</f>
        <v>0</v>
      </c>
      <c r="G114" s="345">
        <f>IF(G103=試算シート!$I$17,1,0)+F114</f>
        <v>0</v>
      </c>
      <c r="H114" s="345">
        <f>IF(H103=試算シート!$I$17,1,0)+G114</f>
        <v>0</v>
      </c>
      <c r="I114" s="345">
        <f>IF(I103=試算シート!$I$17,1,0)+H114</f>
        <v>0</v>
      </c>
      <c r="J114" s="345">
        <f>IF(J103=試算シート!$I$17,1,0)+I114</f>
        <v>0</v>
      </c>
      <c r="K114" s="345">
        <f>IF(K103=試算シート!$I$17,1,0)+J114</f>
        <v>0</v>
      </c>
      <c r="L114" s="345">
        <f>IF(L103=試算シート!$I$17,1,0)+K114</f>
        <v>0</v>
      </c>
      <c r="M114" s="345">
        <f>IF(M103=試算シート!$I$17,1,0)+L114</f>
        <v>0</v>
      </c>
      <c r="N114" s="345">
        <f>IF(N103=試算シート!$I$17,1,0)+M114</f>
        <v>0</v>
      </c>
      <c r="O114" s="330"/>
      <c r="P114" s="345">
        <v>0</v>
      </c>
      <c r="Q114" s="345">
        <f>IF(P103=試算シート!$J$17,1,0)</f>
        <v>0</v>
      </c>
      <c r="R114" s="345">
        <f>IF(Q103=試算シート!$J$17,1,0)+Q114</f>
        <v>0</v>
      </c>
      <c r="S114" s="345">
        <f>IF(R103=試算シート!$J$17,1,0)+R114</f>
        <v>0</v>
      </c>
      <c r="T114" s="345">
        <f>IF(S103=試算シート!$J$17,1,0)+S114</f>
        <v>0</v>
      </c>
      <c r="U114" s="345">
        <f>IF(T103=試算シート!$J$17,1,0)+T114</f>
        <v>0</v>
      </c>
      <c r="V114" s="345">
        <f>IF(U103=試算シート!$J$17,1,0)+U114</f>
        <v>0</v>
      </c>
      <c r="W114" s="345">
        <f>IF(V103=試算シート!$J$17,1,0)+V114</f>
        <v>0</v>
      </c>
      <c r="X114" s="345">
        <f>IF(W103=試算シート!$J$17,1,0)+W114</f>
        <v>0</v>
      </c>
      <c r="Y114" s="345">
        <f>IF(X103=試算シート!$J$17,1,0)+X114</f>
        <v>0</v>
      </c>
      <c r="Z114" s="345">
        <f>IF(Y103=試算シート!$J$17,1,0)+Y114</f>
        <v>0</v>
      </c>
      <c r="AA114" s="345">
        <f>IF(Z103=試算シート!$J$17,1,0)+Z114</f>
        <v>0</v>
      </c>
      <c r="AC114" s="345">
        <f t="shared" si="3"/>
        <v>0</v>
      </c>
      <c r="AD114" s="345">
        <f t="shared" si="3"/>
        <v>0</v>
      </c>
      <c r="AE114" s="345">
        <f t="shared" si="3"/>
        <v>0</v>
      </c>
      <c r="AF114" s="345">
        <f t="shared" si="3"/>
        <v>0</v>
      </c>
      <c r="AG114" s="345">
        <f t="shared" si="3"/>
        <v>0</v>
      </c>
      <c r="AH114" s="345">
        <f t="shared" si="3"/>
        <v>0</v>
      </c>
      <c r="AI114" s="345">
        <f t="shared" si="3"/>
        <v>0</v>
      </c>
      <c r="AJ114" s="345">
        <f t="shared" si="3"/>
        <v>0</v>
      </c>
      <c r="AK114" s="345">
        <f t="shared" si="3"/>
        <v>0</v>
      </c>
      <c r="AL114" s="345">
        <f t="shared" si="3"/>
        <v>0</v>
      </c>
      <c r="AM114" s="345">
        <f t="shared" si="3"/>
        <v>0</v>
      </c>
      <c r="AN114" s="345">
        <f t="shared" si="3"/>
        <v>0</v>
      </c>
    </row>
    <row r="115" spans="1:40" s="330" customFormat="1">
      <c r="A115" s="345"/>
      <c r="B115" s="371"/>
      <c r="C115" s="345">
        <f>IF(C103=試算シート!$I$18,1,0)</f>
        <v>0</v>
      </c>
      <c r="D115" s="345">
        <f>IF(D103=試算シート!$I$18,1,0)+C115</f>
        <v>0</v>
      </c>
      <c r="E115" s="345">
        <f>IF(E103=試算シート!$I$18,1,0)+D115</f>
        <v>0</v>
      </c>
      <c r="F115" s="345">
        <f>IF(F103=試算シート!$I$18,1,0)+E115</f>
        <v>0</v>
      </c>
      <c r="G115" s="345">
        <f>IF(G103=試算シート!$I$18,1,0)+F115</f>
        <v>0</v>
      </c>
      <c r="H115" s="345">
        <f>IF(H103=試算シート!$I$18,1,0)+G115</f>
        <v>0</v>
      </c>
      <c r="I115" s="345">
        <f>IF(I103=試算シート!$I$18,1,0)+H115</f>
        <v>0</v>
      </c>
      <c r="J115" s="345">
        <f>IF(J103=試算シート!$I$18,1,0)+I115</f>
        <v>0</v>
      </c>
      <c r="K115" s="345">
        <f>IF(K103=試算シート!$I$18,1,0)+J115</f>
        <v>0</v>
      </c>
      <c r="L115" s="345">
        <f>IF(L103=試算シート!$I$18,1,0)+K115</f>
        <v>0</v>
      </c>
      <c r="M115" s="345">
        <f>IF(M103=試算シート!$I$18,1,0)+L115</f>
        <v>0</v>
      </c>
      <c r="N115" s="345">
        <f>IF(N103=試算シート!$I$18,1,0)+M115</f>
        <v>0</v>
      </c>
      <c r="O115" s="330"/>
      <c r="P115" s="345">
        <v>0</v>
      </c>
      <c r="Q115" s="345">
        <f>IF(P103=試算シート!$J$18,1,0)</f>
        <v>0</v>
      </c>
      <c r="R115" s="345">
        <f>IF(Q103=試算シート!$J$18,1,0)+Q115</f>
        <v>0</v>
      </c>
      <c r="S115" s="345">
        <f>IF(R103=試算シート!$J$18,1,0)+R115</f>
        <v>0</v>
      </c>
      <c r="T115" s="345">
        <f>IF(S103=試算シート!$J$18,1,0)+S115</f>
        <v>0</v>
      </c>
      <c r="U115" s="345">
        <f>IF(T103=試算シート!$J$18,1,0)+T115</f>
        <v>0</v>
      </c>
      <c r="V115" s="345">
        <f>IF(U103=試算シート!$J$18,1,0)+U115</f>
        <v>0</v>
      </c>
      <c r="W115" s="345">
        <f>IF(V103=試算シート!$J$18,1,0)+V115</f>
        <v>0</v>
      </c>
      <c r="X115" s="345">
        <f>IF(W103=試算シート!$J$18,1,0)+W115</f>
        <v>0</v>
      </c>
      <c r="Y115" s="345">
        <f>IF(X103=試算シート!$J$18,1,0)+X115</f>
        <v>0</v>
      </c>
      <c r="Z115" s="345">
        <f>IF(Y103=試算シート!$J$18,1,0)+Y115</f>
        <v>0</v>
      </c>
      <c r="AA115" s="345">
        <f>IF(Z103=試算シート!$J$18,1,0)+Z115</f>
        <v>0</v>
      </c>
      <c r="AC115" s="345">
        <f t="shared" si="3"/>
        <v>0</v>
      </c>
      <c r="AD115" s="345">
        <f t="shared" si="3"/>
        <v>0</v>
      </c>
      <c r="AE115" s="345">
        <f t="shared" si="3"/>
        <v>0</v>
      </c>
      <c r="AF115" s="345">
        <f t="shared" si="3"/>
        <v>0</v>
      </c>
      <c r="AG115" s="345">
        <f t="shared" si="3"/>
        <v>0</v>
      </c>
      <c r="AH115" s="345">
        <f t="shared" si="3"/>
        <v>0</v>
      </c>
      <c r="AI115" s="345">
        <f t="shared" si="3"/>
        <v>0</v>
      </c>
      <c r="AJ115" s="345">
        <f t="shared" si="3"/>
        <v>0</v>
      </c>
      <c r="AK115" s="345">
        <f t="shared" si="3"/>
        <v>0</v>
      </c>
      <c r="AL115" s="345">
        <f t="shared" si="3"/>
        <v>0</v>
      </c>
      <c r="AM115" s="345">
        <f t="shared" si="3"/>
        <v>0</v>
      </c>
      <c r="AN115" s="345">
        <f t="shared" si="3"/>
        <v>0</v>
      </c>
    </row>
    <row r="116" spans="1:40" s="330" customFormat="1">
      <c r="A116" s="345" t="s">
        <v>89</v>
      </c>
      <c r="B116" s="370">
        <f>IF(試算シート!H19="","0",試算シート!H19)</f>
        <v>0</v>
      </c>
      <c r="C116" s="345">
        <f>IF(C103=試算シート!$I$19,1,0)</f>
        <v>0</v>
      </c>
      <c r="D116" s="345">
        <f>IF(D103=試算シート!$I$19,1,0)+C116</f>
        <v>0</v>
      </c>
      <c r="E116" s="345">
        <f>IF(E103=試算シート!$I$19,1,0)+D116</f>
        <v>0</v>
      </c>
      <c r="F116" s="345">
        <f>IF(F103=試算シート!$I$19,1,0)+E116</f>
        <v>0</v>
      </c>
      <c r="G116" s="345">
        <f>IF(G103=試算シート!$I$19,1,0)+F116</f>
        <v>0</v>
      </c>
      <c r="H116" s="345">
        <f>IF(H103=試算シート!$I$19,1,0)+G116</f>
        <v>0</v>
      </c>
      <c r="I116" s="345">
        <f>IF(I103=試算シート!$I$19,1,0)+H116</f>
        <v>0</v>
      </c>
      <c r="J116" s="345">
        <f>IF(J103=試算シート!$I$19,1,0)+I116</f>
        <v>0</v>
      </c>
      <c r="K116" s="345">
        <f>IF(K103=試算シート!$I$19,1,0)+J116</f>
        <v>0</v>
      </c>
      <c r="L116" s="345">
        <f>IF(L103=試算シート!$I$19,1,0)+K116</f>
        <v>0</v>
      </c>
      <c r="M116" s="345">
        <f>IF(M103=試算シート!$I$19,1,0)+L116</f>
        <v>0</v>
      </c>
      <c r="N116" s="345">
        <f>IF(N103=試算シート!$I$19,1,0)+M116</f>
        <v>0</v>
      </c>
      <c r="O116" s="330"/>
      <c r="P116" s="345">
        <v>0</v>
      </c>
      <c r="Q116" s="345">
        <f>IF(P103=試算シート!$J$19,1,0)</f>
        <v>0</v>
      </c>
      <c r="R116" s="345">
        <f>IF(Q103=試算シート!$J$19,1,0)+Q116</f>
        <v>0</v>
      </c>
      <c r="S116" s="345">
        <f>IF(R103=試算シート!$J$19,1,0)+R116</f>
        <v>0</v>
      </c>
      <c r="T116" s="345">
        <f>IF(S103=試算シート!$J$19,1,0)+S116</f>
        <v>0</v>
      </c>
      <c r="U116" s="345">
        <f>IF(T103=試算シート!$J$19,1,0)+T116</f>
        <v>0</v>
      </c>
      <c r="V116" s="345">
        <f>IF(U103=試算シート!$J$19,1,0)+U116</f>
        <v>0</v>
      </c>
      <c r="W116" s="345">
        <f>IF(V103=試算シート!$J$19,1,0)+V116</f>
        <v>0</v>
      </c>
      <c r="X116" s="345">
        <f>IF(W103=試算シート!$J$19,1,0)+W116</f>
        <v>0</v>
      </c>
      <c r="Y116" s="345">
        <f>IF(X103=試算シート!$J$19,1,0)+X116</f>
        <v>0</v>
      </c>
      <c r="Z116" s="345">
        <f>IF(Y103=試算シート!$J$19,1,0)+Y116</f>
        <v>0</v>
      </c>
      <c r="AA116" s="345">
        <f>IF(Z103=試算シート!$J$19,1,0)+Z116</f>
        <v>0</v>
      </c>
      <c r="AC116" s="345">
        <f t="shared" si="3"/>
        <v>0</v>
      </c>
      <c r="AD116" s="345">
        <f t="shared" si="3"/>
        <v>0</v>
      </c>
      <c r="AE116" s="345">
        <f t="shared" si="3"/>
        <v>0</v>
      </c>
      <c r="AF116" s="345">
        <f t="shared" si="3"/>
        <v>0</v>
      </c>
      <c r="AG116" s="345">
        <f t="shared" si="3"/>
        <v>0</v>
      </c>
      <c r="AH116" s="345">
        <f t="shared" si="3"/>
        <v>0</v>
      </c>
      <c r="AI116" s="345">
        <f t="shared" si="3"/>
        <v>0</v>
      </c>
      <c r="AJ116" s="345">
        <f t="shared" si="3"/>
        <v>0</v>
      </c>
      <c r="AK116" s="345">
        <f t="shared" si="3"/>
        <v>0</v>
      </c>
      <c r="AL116" s="345">
        <f t="shared" si="3"/>
        <v>0</v>
      </c>
      <c r="AM116" s="345">
        <f t="shared" si="3"/>
        <v>0</v>
      </c>
      <c r="AN116" s="345">
        <f t="shared" si="3"/>
        <v>0</v>
      </c>
    </row>
    <row r="117" spans="1:40" s="330" customFormat="1">
      <c r="A117" s="345"/>
      <c r="B117" s="371"/>
      <c r="C117" s="345">
        <f>IF(C103=試算シート!$I$20,1,0)</f>
        <v>0</v>
      </c>
      <c r="D117" s="345">
        <f>IF(D103=試算シート!$I$20,1,0)+C117</f>
        <v>0</v>
      </c>
      <c r="E117" s="345">
        <f>IF(E103=試算シート!$I$20,1,0)+D117</f>
        <v>0</v>
      </c>
      <c r="F117" s="345">
        <f>IF(F103=試算シート!$I$20,1,0)+E117</f>
        <v>0</v>
      </c>
      <c r="G117" s="345">
        <f>IF(G103=試算シート!$I$20,1,0)+F117</f>
        <v>0</v>
      </c>
      <c r="H117" s="345">
        <f>IF(H103=試算シート!$I$20,1,0)+G117</f>
        <v>0</v>
      </c>
      <c r="I117" s="345">
        <f>IF(I103=試算シート!$I$20,1,0)+H117</f>
        <v>0</v>
      </c>
      <c r="J117" s="345">
        <f>IF(J103=試算シート!$I$20,1,0)+I117</f>
        <v>0</v>
      </c>
      <c r="K117" s="345">
        <f>IF(K103=試算シート!$I$20,1,0)+J117</f>
        <v>0</v>
      </c>
      <c r="L117" s="345">
        <f>IF(L103=試算シート!$I$20,1,0)+K117</f>
        <v>0</v>
      </c>
      <c r="M117" s="345">
        <f>IF(M103=試算シート!$I$20,1,0)+L117</f>
        <v>0</v>
      </c>
      <c r="N117" s="345">
        <f>IF(N103=試算シート!$I$20,1,0)+M117</f>
        <v>0</v>
      </c>
      <c r="O117" s="330"/>
      <c r="P117" s="345">
        <v>0</v>
      </c>
      <c r="Q117" s="345">
        <f>IF(P103=試算シート!$J$20,1,0)</f>
        <v>0</v>
      </c>
      <c r="R117" s="345">
        <f>IF(Q103=試算シート!$J$20,1,0)+Q117</f>
        <v>0</v>
      </c>
      <c r="S117" s="345">
        <f>IF(R103=試算シート!$J$20,1,0)+R117</f>
        <v>0</v>
      </c>
      <c r="T117" s="345">
        <f>IF(S103=試算シート!$J$20,1,0)+S117</f>
        <v>0</v>
      </c>
      <c r="U117" s="345">
        <f>IF(T103=試算シート!$J$20,1,0)+T117</f>
        <v>0</v>
      </c>
      <c r="V117" s="345">
        <f>IF(U103=試算シート!$J$20,1,0)+U117</f>
        <v>0</v>
      </c>
      <c r="W117" s="345">
        <f>IF(V103=試算シート!$J$20,1,0)+V117</f>
        <v>0</v>
      </c>
      <c r="X117" s="345">
        <f>IF(W103=試算シート!$J$20,1,0)+W117</f>
        <v>0</v>
      </c>
      <c r="Y117" s="345">
        <f>IF(X103=試算シート!$J$20,1,0)+X117</f>
        <v>0</v>
      </c>
      <c r="Z117" s="345">
        <f>IF(Y103=試算シート!$J$20,1,0)+Y117</f>
        <v>0</v>
      </c>
      <c r="AA117" s="345">
        <f>IF(Z103=試算シート!$J$20,1,0)+Z117</f>
        <v>0</v>
      </c>
      <c r="AC117" s="345">
        <f t="shared" si="3"/>
        <v>0</v>
      </c>
      <c r="AD117" s="345">
        <f t="shared" si="3"/>
        <v>0</v>
      </c>
      <c r="AE117" s="345">
        <f t="shared" si="3"/>
        <v>0</v>
      </c>
      <c r="AF117" s="345">
        <f t="shared" si="3"/>
        <v>0</v>
      </c>
      <c r="AG117" s="345">
        <f t="shared" si="3"/>
        <v>0</v>
      </c>
      <c r="AH117" s="345">
        <f t="shared" si="3"/>
        <v>0</v>
      </c>
      <c r="AI117" s="345">
        <f t="shared" si="3"/>
        <v>0</v>
      </c>
      <c r="AJ117" s="345">
        <f t="shared" si="3"/>
        <v>0</v>
      </c>
      <c r="AK117" s="345">
        <f t="shared" si="3"/>
        <v>0</v>
      </c>
      <c r="AL117" s="345">
        <f t="shared" si="3"/>
        <v>0</v>
      </c>
      <c r="AM117" s="345">
        <f t="shared" si="3"/>
        <v>0</v>
      </c>
      <c r="AN117" s="345">
        <f t="shared" si="3"/>
        <v>0</v>
      </c>
    </row>
    <row r="118" spans="1:40" s="330" customFormat="1">
      <c r="A118" s="345" t="s">
        <v>240</v>
      </c>
      <c r="B118" s="370">
        <f>IF(試算シート!H21="","0",試算シート!H21)</f>
        <v>0</v>
      </c>
      <c r="C118" s="345">
        <f>IF(C103=試算シート!$I$21,1,0)</f>
        <v>0</v>
      </c>
      <c r="D118" s="345">
        <f>IF(D103=試算シート!$I$21,1,0)+C118</f>
        <v>0</v>
      </c>
      <c r="E118" s="345">
        <f>IF(E103=試算シート!$I$21,1,0)+D118</f>
        <v>0</v>
      </c>
      <c r="F118" s="345">
        <f>IF(F103=試算シート!$I$21,1,0)+E118</f>
        <v>0</v>
      </c>
      <c r="G118" s="345">
        <f>IF(G103=試算シート!$I$21,1,0)+F118</f>
        <v>0</v>
      </c>
      <c r="H118" s="345">
        <f>IF(H103=試算シート!$I$21,1,0)+G118</f>
        <v>0</v>
      </c>
      <c r="I118" s="345">
        <f>IF(I103=試算シート!$I$21,1,0)+H118</f>
        <v>0</v>
      </c>
      <c r="J118" s="345">
        <f>IF(J103=試算シート!$I$21,1,0)+I118</f>
        <v>0</v>
      </c>
      <c r="K118" s="345">
        <f>IF(K103=試算シート!$I$21,1,0)+J118</f>
        <v>0</v>
      </c>
      <c r="L118" s="345">
        <f>IF(L103=試算シート!$I$21,1,0)+K118</f>
        <v>0</v>
      </c>
      <c r="M118" s="345">
        <f>IF(M103=試算シート!$I$21,1,0)+L118</f>
        <v>0</v>
      </c>
      <c r="N118" s="345">
        <f>IF(N103=試算シート!$I$21,1,0)+M118</f>
        <v>0</v>
      </c>
      <c r="O118" s="330"/>
      <c r="P118" s="345">
        <v>0</v>
      </c>
      <c r="Q118" s="345">
        <f>IF(P103=試算シート!$J$21,1,0)</f>
        <v>0</v>
      </c>
      <c r="R118" s="345">
        <f>IF(Q103=試算シート!$J$21,1,0)+Q118</f>
        <v>0</v>
      </c>
      <c r="S118" s="345">
        <f>IF(R103=試算シート!$J$21,1,0)+R118</f>
        <v>0</v>
      </c>
      <c r="T118" s="345">
        <f>IF(S103=試算シート!$J$21,1,0)+S118</f>
        <v>0</v>
      </c>
      <c r="U118" s="345">
        <f>IF(T103=試算シート!$J$21,1,0)+T118</f>
        <v>0</v>
      </c>
      <c r="V118" s="345">
        <f>IF(U103=試算シート!$J$21,1,0)+U118</f>
        <v>0</v>
      </c>
      <c r="W118" s="345">
        <f>IF(V103=試算シート!$J$21,1,0)+V118</f>
        <v>0</v>
      </c>
      <c r="X118" s="345">
        <f>IF(W103=試算シート!$J$21,1,0)+W118</f>
        <v>0</v>
      </c>
      <c r="Y118" s="345">
        <f>IF(X103=試算シート!$J$21,1,0)+X118</f>
        <v>0</v>
      </c>
      <c r="Z118" s="345">
        <f>IF(Y103=試算シート!$J$21,1,0)+Y118</f>
        <v>0</v>
      </c>
      <c r="AA118" s="345">
        <f>IF(Z103=試算シート!$J$21,1,0)+Z118</f>
        <v>0</v>
      </c>
      <c r="AC118" s="345">
        <f t="shared" si="3"/>
        <v>0</v>
      </c>
      <c r="AD118" s="345">
        <f t="shared" si="3"/>
        <v>0</v>
      </c>
      <c r="AE118" s="345">
        <f t="shared" si="3"/>
        <v>0</v>
      </c>
      <c r="AF118" s="345">
        <f t="shared" si="3"/>
        <v>0</v>
      </c>
      <c r="AG118" s="345">
        <f t="shared" si="3"/>
        <v>0</v>
      </c>
      <c r="AH118" s="345">
        <f t="shared" si="3"/>
        <v>0</v>
      </c>
      <c r="AI118" s="345">
        <f t="shared" si="3"/>
        <v>0</v>
      </c>
      <c r="AJ118" s="345">
        <f t="shared" si="3"/>
        <v>0</v>
      </c>
      <c r="AK118" s="345">
        <f t="shared" si="3"/>
        <v>0</v>
      </c>
      <c r="AL118" s="345">
        <f t="shared" si="3"/>
        <v>0</v>
      </c>
      <c r="AM118" s="345">
        <f t="shared" si="3"/>
        <v>0</v>
      </c>
      <c r="AN118" s="345">
        <f t="shared" si="3"/>
        <v>0</v>
      </c>
    </row>
    <row r="119" spans="1:40" s="330" customFormat="1">
      <c r="A119" s="345"/>
      <c r="B119" s="371"/>
      <c r="C119" s="345">
        <f>IF(C103=試算シート!$I$22,1,0)</f>
        <v>0</v>
      </c>
      <c r="D119" s="345">
        <f>IF(D103=試算シート!$I$22,1,0)+C119</f>
        <v>0</v>
      </c>
      <c r="E119" s="345">
        <f>IF(E103=試算シート!$I$22,1,0)+D119</f>
        <v>0</v>
      </c>
      <c r="F119" s="345">
        <f>IF(F103=試算シート!$I$22,1,0)+E119</f>
        <v>0</v>
      </c>
      <c r="G119" s="345">
        <f>IF(G103=試算シート!$I$22,1,0)+F119</f>
        <v>0</v>
      </c>
      <c r="H119" s="345">
        <f>IF(H103=試算シート!$I$22,1,0)+G119</f>
        <v>0</v>
      </c>
      <c r="I119" s="345">
        <f>IF(I103=試算シート!$I$22,1,0)+H119</f>
        <v>0</v>
      </c>
      <c r="J119" s="345">
        <f>IF(J103=試算シート!$I$22,1,0)+I119</f>
        <v>0</v>
      </c>
      <c r="K119" s="345">
        <f>IF(K103=試算シート!$I$22,1,0)+J119</f>
        <v>0</v>
      </c>
      <c r="L119" s="345">
        <f>IF(L103=試算シート!$I$22,1,0)+K119</f>
        <v>0</v>
      </c>
      <c r="M119" s="345">
        <f>IF(M103=試算シート!$I$22,1,0)+L119</f>
        <v>0</v>
      </c>
      <c r="N119" s="345">
        <f>IF(N103=試算シート!$I$22,1,0)+M119</f>
        <v>0</v>
      </c>
      <c r="O119" s="330"/>
      <c r="P119" s="345">
        <v>0</v>
      </c>
      <c r="Q119" s="345">
        <f>IF(P103=試算シート!$J$22,1,0)</f>
        <v>0</v>
      </c>
      <c r="R119" s="345">
        <f>IF(Q103=試算シート!$J$22,1,0)+Q119</f>
        <v>0</v>
      </c>
      <c r="S119" s="345">
        <f>IF(R103=試算シート!$J$22,1,0)+R119</f>
        <v>0</v>
      </c>
      <c r="T119" s="345">
        <f>IF(S103=試算シート!$J$22,1,0)+S119</f>
        <v>0</v>
      </c>
      <c r="U119" s="345">
        <f>IF(T103=試算シート!$J$22,1,0)+T119</f>
        <v>0</v>
      </c>
      <c r="V119" s="345">
        <f>IF(U103=試算シート!$J$22,1,0)+U119</f>
        <v>0</v>
      </c>
      <c r="W119" s="345">
        <f>IF(V103=試算シート!$J$22,1,0)+V119</f>
        <v>0</v>
      </c>
      <c r="X119" s="345">
        <f>IF(W103=試算シート!$J$22,1,0)+W119</f>
        <v>0</v>
      </c>
      <c r="Y119" s="345">
        <f>IF(X103=試算シート!$J$22,1,0)+X119</f>
        <v>0</v>
      </c>
      <c r="Z119" s="345">
        <f>IF(Y103=試算シート!$J$22,1,0)+Y119</f>
        <v>0</v>
      </c>
      <c r="AA119" s="345">
        <f>IF(Z103=試算シート!$J$22,1,0)+Z119</f>
        <v>0</v>
      </c>
      <c r="AC119" s="345">
        <f t="shared" si="3"/>
        <v>0</v>
      </c>
      <c r="AD119" s="345">
        <f t="shared" si="3"/>
        <v>0</v>
      </c>
      <c r="AE119" s="345">
        <f t="shared" si="3"/>
        <v>0</v>
      </c>
      <c r="AF119" s="345">
        <f t="shared" si="3"/>
        <v>0</v>
      </c>
      <c r="AG119" s="345">
        <f t="shared" si="3"/>
        <v>0</v>
      </c>
      <c r="AH119" s="345">
        <f t="shared" si="3"/>
        <v>0</v>
      </c>
      <c r="AI119" s="345">
        <f t="shared" si="3"/>
        <v>0</v>
      </c>
      <c r="AJ119" s="345">
        <f t="shared" si="3"/>
        <v>0</v>
      </c>
      <c r="AK119" s="345">
        <f t="shared" si="3"/>
        <v>0</v>
      </c>
      <c r="AL119" s="345">
        <f t="shared" si="3"/>
        <v>0</v>
      </c>
      <c r="AM119" s="345">
        <f t="shared" si="3"/>
        <v>0</v>
      </c>
      <c r="AN119" s="345">
        <f t="shared" si="3"/>
        <v>0</v>
      </c>
    </row>
    <row r="120" spans="1:40" s="330" customFormat="1">
      <c r="A120" s="345" t="s">
        <v>271</v>
      </c>
      <c r="B120" s="372"/>
      <c r="C120" s="345">
        <f>IF(C103=試算シート!$I$23,1,0)</f>
        <v>0</v>
      </c>
      <c r="D120" s="345">
        <f>IF(D103=試算シート!$I$23,1,0)+C120</f>
        <v>0</v>
      </c>
      <c r="E120" s="345">
        <f>IF(E103=試算シート!$I$23,1,0)+D120</f>
        <v>0</v>
      </c>
      <c r="F120" s="345">
        <f>IF(F103=試算シート!$I$23,1,0)+E120</f>
        <v>0</v>
      </c>
      <c r="G120" s="345">
        <f>IF(G103=試算シート!$I$23,1,0)+F120</f>
        <v>0</v>
      </c>
      <c r="H120" s="345">
        <f>IF(H103=試算シート!$I$23,1,0)+G120</f>
        <v>0</v>
      </c>
      <c r="I120" s="345">
        <f>IF(I103=試算シート!$I$23,1,0)+H120</f>
        <v>0</v>
      </c>
      <c r="J120" s="345">
        <f>IF(J103=試算シート!$I$23,1,0)+I120</f>
        <v>0</v>
      </c>
      <c r="K120" s="345">
        <f>IF(K103=試算シート!$I$23,1,0)+J120</f>
        <v>0</v>
      </c>
      <c r="L120" s="345">
        <f>IF(L103=試算シート!$I$23,1,0)+K120</f>
        <v>0</v>
      </c>
      <c r="M120" s="345">
        <f>IF(M103=試算シート!$I$23,1,0)+L120</f>
        <v>0</v>
      </c>
      <c r="N120" s="345">
        <f>IF(N103=試算シート!$I$23,1,0)+M120</f>
        <v>0</v>
      </c>
      <c r="O120" s="330"/>
      <c r="P120" s="345">
        <v>0</v>
      </c>
      <c r="Q120" s="345">
        <f>IF(P103=試算シート!$J$23,1,0)</f>
        <v>0</v>
      </c>
      <c r="R120" s="345">
        <f>IF(Q103=試算シート!$J$23,1,0)+Q120</f>
        <v>0</v>
      </c>
      <c r="S120" s="345">
        <f>IF(R103=試算シート!$J$23,1,0)+R120</f>
        <v>0</v>
      </c>
      <c r="T120" s="345">
        <f>IF(S103=試算シート!$J$23,1,0)+S120</f>
        <v>0</v>
      </c>
      <c r="U120" s="345">
        <f>IF(T103=試算シート!$J$23,1,0)+T120</f>
        <v>0</v>
      </c>
      <c r="V120" s="345">
        <f>IF(U103=試算シート!$J$23,1,0)+U120</f>
        <v>0</v>
      </c>
      <c r="W120" s="345">
        <f>IF(V103=試算シート!$J$23,1,0)+V120</f>
        <v>0</v>
      </c>
      <c r="X120" s="345">
        <f>IF(W103=試算シート!$J$23,1,0)+W120</f>
        <v>0</v>
      </c>
      <c r="Y120" s="345">
        <f>IF(X103=試算シート!$J$23,1,0)+X120</f>
        <v>0</v>
      </c>
      <c r="Z120" s="345">
        <f>IF(Y103=試算シート!$J$23,1,0)+Y120</f>
        <v>0</v>
      </c>
      <c r="AA120" s="345">
        <f>IF(Z103=試算シート!$J$23,1,0)+Z120</f>
        <v>0</v>
      </c>
      <c r="AC120" s="345">
        <f t="shared" si="3"/>
        <v>0</v>
      </c>
      <c r="AD120" s="345">
        <f t="shared" si="3"/>
        <v>0</v>
      </c>
      <c r="AE120" s="345">
        <f t="shared" si="3"/>
        <v>0</v>
      </c>
      <c r="AF120" s="345">
        <f t="shared" si="3"/>
        <v>0</v>
      </c>
      <c r="AG120" s="345">
        <f t="shared" si="3"/>
        <v>0</v>
      </c>
      <c r="AH120" s="345">
        <f t="shared" si="3"/>
        <v>0</v>
      </c>
      <c r="AI120" s="345">
        <f t="shared" si="3"/>
        <v>0</v>
      </c>
      <c r="AJ120" s="345">
        <f t="shared" si="3"/>
        <v>0</v>
      </c>
      <c r="AK120" s="345">
        <f t="shared" si="3"/>
        <v>0</v>
      </c>
      <c r="AL120" s="345">
        <f t="shared" si="3"/>
        <v>0</v>
      </c>
      <c r="AM120" s="345">
        <f t="shared" si="3"/>
        <v>0</v>
      </c>
      <c r="AN120" s="345">
        <f t="shared" si="3"/>
        <v>0</v>
      </c>
    </row>
    <row r="121" spans="1:40" s="330" customFormat="1">
      <c r="A121" s="345" t="s">
        <v>272</v>
      </c>
      <c r="B121" s="372"/>
      <c r="C121" s="345">
        <f>IF(C103=試算シート!$I$24,1,0)</f>
        <v>0</v>
      </c>
      <c r="D121" s="345">
        <f>IF(D103=試算シート!$I$24,1,0)+C121</f>
        <v>0</v>
      </c>
      <c r="E121" s="345">
        <f>IF(E103=試算シート!$I$24,1,0)+D121</f>
        <v>0</v>
      </c>
      <c r="F121" s="345">
        <f>IF(F103=試算シート!$I$24,1,0)+E121</f>
        <v>0</v>
      </c>
      <c r="G121" s="345">
        <f>IF(G103=試算シート!$I$24,1,0)+F121</f>
        <v>0</v>
      </c>
      <c r="H121" s="345">
        <f>IF(H103=試算シート!$I$24,1,0)+G121</f>
        <v>0</v>
      </c>
      <c r="I121" s="345">
        <f>IF(I103=試算シート!$I$24,1,0)+H121</f>
        <v>0</v>
      </c>
      <c r="J121" s="345">
        <f>IF(J103=試算シート!$I$24,1,0)+I121</f>
        <v>0</v>
      </c>
      <c r="K121" s="345">
        <f>IF(K103=試算シート!$I$24,1,0)+J121</f>
        <v>0</v>
      </c>
      <c r="L121" s="345">
        <f>IF(L103=試算シート!$I$24,1,0)+K121</f>
        <v>0</v>
      </c>
      <c r="M121" s="345">
        <f>IF(M103=試算シート!$I$24,1,0)+L121</f>
        <v>0</v>
      </c>
      <c r="N121" s="345">
        <f>IF(N103=試算シート!$I$24,1,0)+M121</f>
        <v>0</v>
      </c>
      <c r="O121" s="330"/>
      <c r="P121" s="345">
        <v>0</v>
      </c>
      <c r="Q121" s="345">
        <f>IF(P103=試算シート!$J$24,1,0)</f>
        <v>0</v>
      </c>
      <c r="R121" s="345">
        <f>IF(Q103=試算シート!$J$24,1,0)+Q121</f>
        <v>0</v>
      </c>
      <c r="S121" s="345">
        <f>IF(R103=試算シート!$J$24,1,0)+R121</f>
        <v>0</v>
      </c>
      <c r="T121" s="345">
        <f>IF(S103=試算シート!$J$24,1,0)+S121</f>
        <v>0</v>
      </c>
      <c r="U121" s="345">
        <f>IF(T103=試算シート!$J$24,1,0)+T121</f>
        <v>0</v>
      </c>
      <c r="V121" s="345">
        <f>IF(U103=試算シート!$J$24,1,0)+U121</f>
        <v>0</v>
      </c>
      <c r="W121" s="345">
        <f>IF(V103=試算シート!$J$24,1,0)+V121</f>
        <v>0</v>
      </c>
      <c r="X121" s="345">
        <f>IF(W103=試算シート!$J$24,1,0)+W121</f>
        <v>0</v>
      </c>
      <c r="Y121" s="345">
        <f>IF(X103=試算シート!$J$24,1,0)+X121</f>
        <v>0</v>
      </c>
      <c r="Z121" s="345">
        <f>IF(Y103=試算シート!$J$24,1,0)+Y121</f>
        <v>0</v>
      </c>
      <c r="AA121" s="345">
        <f>IF(Z103=試算シート!$J$24,1,0)+Z121</f>
        <v>0</v>
      </c>
      <c r="AC121" s="345">
        <f t="shared" si="3"/>
        <v>0</v>
      </c>
      <c r="AD121" s="345">
        <f t="shared" si="3"/>
        <v>0</v>
      </c>
      <c r="AE121" s="345">
        <f t="shared" si="3"/>
        <v>0</v>
      </c>
      <c r="AF121" s="345">
        <f t="shared" si="3"/>
        <v>0</v>
      </c>
      <c r="AG121" s="345">
        <f t="shared" si="3"/>
        <v>0</v>
      </c>
      <c r="AH121" s="345">
        <f t="shared" si="3"/>
        <v>0</v>
      </c>
      <c r="AI121" s="345">
        <f t="shared" si="3"/>
        <v>0</v>
      </c>
      <c r="AJ121" s="345">
        <f t="shared" si="3"/>
        <v>0</v>
      </c>
      <c r="AK121" s="345">
        <f t="shared" si="3"/>
        <v>0</v>
      </c>
      <c r="AL121" s="345">
        <f t="shared" si="3"/>
        <v>0</v>
      </c>
      <c r="AM121" s="345">
        <f t="shared" si="3"/>
        <v>0</v>
      </c>
      <c r="AN121" s="345">
        <f t="shared" si="3"/>
        <v>0</v>
      </c>
    </row>
    <row r="122" spans="1:40" s="330" customFormat="1">
      <c r="A122" s="330"/>
      <c r="B122" s="330"/>
      <c r="C122" s="389"/>
      <c r="D122" s="330"/>
      <c r="E122" s="330"/>
      <c r="F122" s="330"/>
      <c r="G122" s="330"/>
      <c r="H122" s="330"/>
      <c r="I122" s="330"/>
      <c r="J122" s="330"/>
      <c r="K122" s="330"/>
      <c r="L122" s="330"/>
      <c r="M122" s="330"/>
      <c r="N122" s="330"/>
      <c r="O122" s="330"/>
      <c r="P122" s="330"/>
      <c r="Q122" s="330"/>
      <c r="R122" s="330"/>
      <c r="S122" s="330"/>
      <c r="T122" s="330"/>
      <c r="U122" s="330"/>
      <c r="V122" s="330"/>
      <c r="W122" s="330"/>
      <c r="X122" s="330"/>
      <c r="Y122" s="330"/>
      <c r="Z122" s="330"/>
      <c r="AA122" s="330"/>
      <c r="AC122" s="330"/>
      <c r="AD122" s="330"/>
      <c r="AE122" s="330"/>
      <c r="AF122" s="330"/>
      <c r="AG122" s="330"/>
      <c r="AH122" s="330"/>
      <c r="AI122" s="330"/>
      <c r="AJ122" s="330"/>
      <c r="AK122" s="330"/>
      <c r="AL122" s="330"/>
      <c r="AM122" s="330"/>
      <c r="AN122" s="330"/>
    </row>
    <row r="123" spans="1:40" s="330" customFormat="1">
      <c r="A123" s="330"/>
      <c r="B123" s="330"/>
      <c r="C123" s="389"/>
      <c r="D123" s="330"/>
      <c r="E123" s="330"/>
      <c r="F123" s="330"/>
      <c r="G123" s="330"/>
      <c r="H123" s="330"/>
      <c r="I123" s="330"/>
      <c r="J123" s="330"/>
      <c r="K123" s="330"/>
      <c r="L123" s="330"/>
      <c r="M123" s="330"/>
      <c r="N123" s="330"/>
      <c r="O123" s="330"/>
      <c r="P123" s="330"/>
      <c r="Q123" s="330"/>
      <c r="R123" s="330"/>
      <c r="S123" s="330"/>
      <c r="T123" s="330"/>
      <c r="U123" s="330"/>
      <c r="V123" s="330"/>
      <c r="W123" s="330"/>
      <c r="X123" s="330"/>
      <c r="Y123" s="330"/>
      <c r="Z123" s="330"/>
      <c r="AA123" s="330"/>
      <c r="AC123" s="330"/>
      <c r="AD123" s="330"/>
      <c r="AE123" s="330"/>
      <c r="AF123" s="330"/>
      <c r="AG123" s="330"/>
      <c r="AH123" s="330"/>
      <c r="AI123" s="330"/>
      <c r="AJ123" s="330"/>
      <c r="AK123" s="330"/>
      <c r="AL123" s="330"/>
      <c r="AM123" s="330"/>
      <c r="AN123" s="330"/>
    </row>
    <row r="124" spans="1:40" s="330" customFormat="1">
      <c r="A124" s="344" t="s">
        <v>327</v>
      </c>
      <c r="B124" s="330"/>
      <c r="C124" s="330"/>
      <c r="D124" s="330"/>
      <c r="E124" s="330"/>
      <c r="F124" s="330"/>
      <c r="G124" s="330"/>
      <c r="H124" s="330"/>
      <c r="I124" s="330"/>
      <c r="J124" s="330"/>
      <c r="K124" s="330"/>
      <c r="L124" s="330"/>
      <c r="M124" s="330"/>
      <c r="N124" s="333"/>
      <c r="O124" s="330"/>
      <c r="P124" s="330"/>
      <c r="Q124" s="330"/>
      <c r="R124" s="330"/>
      <c r="S124" s="330"/>
      <c r="T124" s="330"/>
      <c r="U124" s="330"/>
      <c r="V124" s="330"/>
      <c r="W124" s="330"/>
      <c r="X124" s="330"/>
      <c r="Y124" s="330"/>
      <c r="Z124" s="330"/>
      <c r="AA124" s="330"/>
      <c r="AC124" s="330"/>
      <c r="AD124" s="330"/>
      <c r="AE124" s="330"/>
      <c r="AF124" s="330"/>
      <c r="AG124" s="330"/>
      <c r="AH124" s="330"/>
      <c r="AI124" s="330"/>
      <c r="AJ124" s="330"/>
      <c r="AK124" s="330"/>
      <c r="AL124" s="330"/>
      <c r="AM124" s="330"/>
      <c r="AN124" s="330"/>
    </row>
    <row r="125" spans="1:40" s="330" customFormat="1">
      <c r="A125" s="330"/>
      <c r="B125" s="330"/>
      <c r="C125" s="330"/>
      <c r="D125" s="330"/>
      <c r="E125" s="330"/>
      <c r="F125" s="330"/>
      <c r="G125" s="330"/>
      <c r="H125" s="330"/>
      <c r="I125" s="330"/>
      <c r="J125" s="330"/>
      <c r="K125" s="330"/>
      <c r="L125" s="330"/>
      <c r="M125" s="330"/>
      <c r="N125" s="333"/>
      <c r="O125" s="330"/>
      <c r="P125" s="330"/>
      <c r="Q125" s="330"/>
      <c r="R125" s="330"/>
      <c r="S125" s="330"/>
      <c r="T125" s="330"/>
      <c r="U125" s="330"/>
      <c r="V125" s="330"/>
      <c r="W125" s="330"/>
      <c r="X125" s="330"/>
      <c r="Y125" s="330"/>
      <c r="Z125" s="330"/>
      <c r="AA125" s="330"/>
      <c r="AC125" s="330"/>
      <c r="AD125" s="330"/>
      <c r="AE125" s="330"/>
      <c r="AF125" s="330"/>
      <c r="AG125" s="330"/>
      <c r="AH125" s="330"/>
      <c r="AI125" s="330"/>
      <c r="AJ125" s="330"/>
      <c r="AK125" s="330"/>
      <c r="AL125" s="330"/>
      <c r="AM125" s="330"/>
      <c r="AN125" s="330"/>
    </row>
    <row r="126" spans="1:40" s="330" customFormat="1">
      <c r="A126" s="345"/>
      <c r="B126" s="345" t="s">
        <v>123</v>
      </c>
      <c r="C126" s="345" t="s">
        <v>40</v>
      </c>
      <c r="D126" s="345" t="s">
        <v>19</v>
      </c>
      <c r="E126" s="345" t="s">
        <v>41</v>
      </c>
      <c r="F126" s="345" t="s">
        <v>42</v>
      </c>
      <c r="G126" s="345" t="s">
        <v>44</v>
      </c>
      <c r="H126" s="345" t="s">
        <v>48</v>
      </c>
      <c r="I126" s="345" t="s">
        <v>35</v>
      </c>
      <c r="J126" s="345" t="s">
        <v>47</v>
      </c>
      <c r="K126" s="345" t="s">
        <v>50</v>
      </c>
      <c r="L126" s="345" t="s">
        <v>77</v>
      </c>
      <c r="M126" s="345" t="s">
        <v>78</v>
      </c>
      <c r="N126" s="345" t="s">
        <v>79</v>
      </c>
      <c r="O126" s="330"/>
      <c r="P126" s="330"/>
      <c r="Q126" s="330"/>
      <c r="R126" s="330"/>
      <c r="S126" s="330"/>
      <c r="T126" s="330"/>
      <c r="U126" s="330"/>
      <c r="V126" s="330"/>
      <c r="W126" s="330"/>
      <c r="X126" s="330"/>
      <c r="Y126" s="330"/>
      <c r="Z126" s="330"/>
      <c r="AA126" s="330"/>
      <c r="AC126" s="330"/>
      <c r="AD126" s="330"/>
      <c r="AE126" s="330"/>
      <c r="AF126" s="330"/>
      <c r="AG126" s="330"/>
      <c r="AH126" s="330"/>
      <c r="AI126" s="330"/>
      <c r="AJ126" s="330"/>
      <c r="AK126" s="330"/>
      <c r="AL126" s="330"/>
      <c r="AM126" s="330"/>
      <c r="AN126" s="330"/>
    </row>
    <row r="127" spans="1:40" s="330" customFormat="1">
      <c r="A127" s="346" t="s">
        <v>81</v>
      </c>
      <c r="B127" s="345" t="s">
        <v>33</v>
      </c>
      <c r="C127" s="345">
        <f t="shared" ref="C127:N127" si="4">IF(AC104=0,0,IF($A$129="未就学児",2,AC104))</f>
        <v>0</v>
      </c>
      <c r="D127" s="345">
        <f t="shared" si="4"/>
        <v>0</v>
      </c>
      <c r="E127" s="345">
        <f t="shared" si="4"/>
        <v>0</v>
      </c>
      <c r="F127" s="345">
        <f t="shared" si="4"/>
        <v>0</v>
      </c>
      <c r="G127" s="345">
        <f t="shared" si="4"/>
        <v>0</v>
      </c>
      <c r="H127" s="345">
        <f t="shared" si="4"/>
        <v>0</v>
      </c>
      <c r="I127" s="345">
        <f t="shared" si="4"/>
        <v>0</v>
      </c>
      <c r="J127" s="345">
        <f t="shared" si="4"/>
        <v>0</v>
      </c>
      <c r="K127" s="345">
        <f t="shared" si="4"/>
        <v>0</v>
      </c>
      <c r="L127" s="345">
        <f t="shared" si="4"/>
        <v>0</v>
      </c>
      <c r="M127" s="345">
        <f t="shared" si="4"/>
        <v>0</v>
      </c>
      <c r="N127" s="345">
        <f t="shared" si="4"/>
        <v>0</v>
      </c>
      <c r="O127" s="330"/>
      <c r="P127" s="330"/>
      <c r="Q127" s="330"/>
      <c r="R127" s="330"/>
      <c r="S127" s="330"/>
      <c r="T127" s="330"/>
      <c r="U127" s="330"/>
      <c r="V127" s="330"/>
      <c r="W127" s="330"/>
      <c r="X127" s="330"/>
      <c r="Y127" s="330"/>
      <c r="Z127" s="330"/>
      <c r="AA127" s="330"/>
      <c r="AC127" s="330"/>
      <c r="AD127" s="330"/>
      <c r="AE127" s="330"/>
      <c r="AF127" s="330"/>
      <c r="AG127" s="330"/>
      <c r="AH127" s="330"/>
      <c r="AI127" s="330"/>
      <c r="AJ127" s="330"/>
      <c r="AK127" s="330"/>
      <c r="AL127" s="330"/>
      <c r="AM127" s="330"/>
      <c r="AN127" s="330"/>
    </row>
    <row r="128" spans="1:40" s="330" customFormat="1">
      <c r="A128" s="347"/>
      <c r="B128" s="345" t="s">
        <v>57</v>
      </c>
      <c r="C128" s="345">
        <f t="shared" ref="C128:N128" si="5">C127</f>
        <v>0</v>
      </c>
      <c r="D128" s="345">
        <f t="shared" si="5"/>
        <v>0</v>
      </c>
      <c r="E128" s="345">
        <f t="shared" si="5"/>
        <v>0</v>
      </c>
      <c r="F128" s="345">
        <f t="shared" si="5"/>
        <v>0</v>
      </c>
      <c r="G128" s="345">
        <f t="shared" si="5"/>
        <v>0</v>
      </c>
      <c r="H128" s="345">
        <f t="shared" si="5"/>
        <v>0</v>
      </c>
      <c r="I128" s="345">
        <f t="shared" si="5"/>
        <v>0</v>
      </c>
      <c r="J128" s="345">
        <f t="shared" si="5"/>
        <v>0</v>
      </c>
      <c r="K128" s="345">
        <f t="shared" si="5"/>
        <v>0</v>
      </c>
      <c r="L128" s="345">
        <f t="shared" si="5"/>
        <v>0</v>
      </c>
      <c r="M128" s="345">
        <f t="shared" si="5"/>
        <v>0</v>
      </c>
      <c r="N128" s="345">
        <f t="shared" si="5"/>
        <v>0</v>
      </c>
      <c r="O128" s="330"/>
      <c r="P128" s="330"/>
      <c r="Q128" s="330"/>
      <c r="R128" s="330"/>
      <c r="S128" s="330"/>
      <c r="T128" s="330"/>
      <c r="U128" s="330"/>
      <c r="V128" s="330"/>
      <c r="W128" s="330"/>
      <c r="X128" s="330"/>
      <c r="Y128" s="330"/>
      <c r="Z128" s="330"/>
      <c r="AA128" s="330"/>
      <c r="AC128" s="330"/>
      <c r="AD128" s="330"/>
      <c r="AE128" s="330"/>
      <c r="AF128" s="330"/>
      <c r="AG128" s="330"/>
      <c r="AH128" s="330"/>
      <c r="AI128" s="330"/>
      <c r="AJ128" s="330"/>
      <c r="AK128" s="330"/>
      <c r="AL128" s="330"/>
      <c r="AM128" s="330"/>
      <c r="AN128" s="330"/>
    </row>
    <row r="129" spans="1:14" s="330" customFormat="1">
      <c r="A129" s="347" t="str">
        <f>IF($L$80=0,"一般","未就学児")</f>
        <v>一般</v>
      </c>
      <c r="B129" s="345" t="s">
        <v>28</v>
      </c>
      <c r="C129" s="345">
        <f t="shared" ref="C129:N129" si="6">IF(AC105=0,0,AC105)</f>
        <v>0</v>
      </c>
      <c r="D129" s="345">
        <f t="shared" si="6"/>
        <v>0</v>
      </c>
      <c r="E129" s="345">
        <f t="shared" si="6"/>
        <v>0</v>
      </c>
      <c r="F129" s="345">
        <f t="shared" si="6"/>
        <v>0</v>
      </c>
      <c r="G129" s="345">
        <f t="shared" si="6"/>
        <v>0</v>
      </c>
      <c r="H129" s="345">
        <f t="shared" si="6"/>
        <v>0</v>
      </c>
      <c r="I129" s="345">
        <f t="shared" si="6"/>
        <v>0</v>
      </c>
      <c r="J129" s="345">
        <f t="shared" si="6"/>
        <v>0</v>
      </c>
      <c r="K129" s="345">
        <f t="shared" si="6"/>
        <v>0</v>
      </c>
      <c r="L129" s="345">
        <f t="shared" si="6"/>
        <v>0</v>
      </c>
      <c r="M129" s="345">
        <f t="shared" si="6"/>
        <v>0</v>
      </c>
      <c r="N129" s="345">
        <f t="shared" si="6"/>
        <v>0</v>
      </c>
    </row>
    <row r="130" spans="1:14" s="330" customFormat="1">
      <c r="A130" s="347" t="str">
        <f>IF($M$80=0,"１８歳以上","１８歳未満")</f>
        <v>１８歳以上</v>
      </c>
      <c r="B130" s="345" t="s">
        <v>59</v>
      </c>
      <c r="C130" s="345">
        <f t="shared" ref="C130:N130" si="7">IF(AC104=0,0,IF($A$130="１８歳未満",4,AC104))</f>
        <v>0</v>
      </c>
      <c r="D130" s="345">
        <f t="shared" si="7"/>
        <v>0</v>
      </c>
      <c r="E130" s="345">
        <f t="shared" si="7"/>
        <v>0</v>
      </c>
      <c r="F130" s="345">
        <f t="shared" si="7"/>
        <v>0</v>
      </c>
      <c r="G130" s="345">
        <f t="shared" si="7"/>
        <v>0</v>
      </c>
      <c r="H130" s="345">
        <f t="shared" si="7"/>
        <v>0</v>
      </c>
      <c r="I130" s="345">
        <f t="shared" si="7"/>
        <v>0</v>
      </c>
      <c r="J130" s="345">
        <f t="shared" si="7"/>
        <v>0</v>
      </c>
      <c r="K130" s="345">
        <f t="shared" si="7"/>
        <v>0</v>
      </c>
      <c r="L130" s="345">
        <f t="shared" si="7"/>
        <v>0</v>
      </c>
      <c r="M130" s="345">
        <f t="shared" si="7"/>
        <v>0</v>
      </c>
      <c r="N130" s="345">
        <f t="shared" si="7"/>
        <v>0</v>
      </c>
    </row>
    <row r="131" spans="1:14" s="330" customFormat="1">
      <c r="A131" s="346" t="s">
        <v>82</v>
      </c>
      <c r="B131" s="345" t="s">
        <v>33</v>
      </c>
      <c r="C131" s="345">
        <f t="shared" ref="C131:N131" si="8">IF(AC106=0,0,IF($A$133="未就学児",2,AC106))</f>
        <v>0</v>
      </c>
      <c r="D131" s="345">
        <f t="shared" si="8"/>
        <v>0</v>
      </c>
      <c r="E131" s="345">
        <f t="shared" si="8"/>
        <v>0</v>
      </c>
      <c r="F131" s="345">
        <f t="shared" si="8"/>
        <v>0</v>
      </c>
      <c r="G131" s="345">
        <f t="shared" si="8"/>
        <v>0</v>
      </c>
      <c r="H131" s="345">
        <f t="shared" si="8"/>
        <v>0</v>
      </c>
      <c r="I131" s="345">
        <f t="shared" si="8"/>
        <v>0</v>
      </c>
      <c r="J131" s="345">
        <f t="shared" si="8"/>
        <v>0</v>
      </c>
      <c r="K131" s="345">
        <f t="shared" si="8"/>
        <v>0</v>
      </c>
      <c r="L131" s="345">
        <f t="shared" si="8"/>
        <v>0</v>
      </c>
      <c r="M131" s="345">
        <f t="shared" si="8"/>
        <v>0</v>
      </c>
      <c r="N131" s="345">
        <f t="shared" si="8"/>
        <v>0</v>
      </c>
    </row>
    <row r="132" spans="1:14" s="330" customFormat="1">
      <c r="A132" s="347"/>
      <c r="B132" s="345" t="s">
        <v>57</v>
      </c>
      <c r="C132" s="345">
        <f t="shared" ref="C132:N132" si="9">C131</f>
        <v>0</v>
      </c>
      <c r="D132" s="345">
        <f t="shared" si="9"/>
        <v>0</v>
      </c>
      <c r="E132" s="345">
        <f t="shared" si="9"/>
        <v>0</v>
      </c>
      <c r="F132" s="345">
        <f t="shared" si="9"/>
        <v>0</v>
      </c>
      <c r="G132" s="345">
        <f t="shared" si="9"/>
        <v>0</v>
      </c>
      <c r="H132" s="345">
        <f t="shared" si="9"/>
        <v>0</v>
      </c>
      <c r="I132" s="345">
        <f t="shared" si="9"/>
        <v>0</v>
      </c>
      <c r="J132" s="345">
        <f t="shared" si="9"/>
        <v>0</v>
      </c>
      <c r="K132" s="345">
        <f t="shared" si="9"/>
        <v>0</v>
      </c>
      <c r="L132" s="345">
        <f t="shared" si="9"/>
        <v>0</v>
      </c>
      <c r="M132" s="345">
        <f t="shared" si="9"/>
        <v>0</v>
      </c>
      <c r="N132" s="345">
        <f t="shared" si="9"/>
        <v>0</v>
      </c>
    </row>
    <row r="133" spans="1:14" s="330" customFormat="1">
      <c r="A133" s="347" t="str">
        <f>IF($L$82=0,"一般","未就学児")</f>
        <v>一般</v>
      </c>
      <c r="B133" s="345" t="s">
        <v>28</v>
      </c>
      <c r="C133" s="345">
        <f t="shared" ref="C133:N133" si="10">IF(AC107=0,0,AC107)</f>
        <v>0</v>
      </c>
      <c r="D133" s="345">
        <f t="shared" si="10"/>
        <v>0</v>
      </c>
      <c r="E133" s="345">
        <f t="shared" si="10"/>
        <v>0</v>
      </c>
      <c r="F133" s="345">
        <f t="shared" si="10"/>
        <v>0</v>
      </c>
      <c r="G133" s="345">
        <f t="shared" si="10"/>
        <v>0</v>
      </c>
      <c r="H133" s="345">
        <f t="shared" si="10"/>
        <v>0</v>
      </c>
      <c r="I133" s="345">
        <f t="shared" si="10"/>
        <v>0</v>
      </c>
      <c r="J133" s="345">
        <f t="shared" si="10"/>
        <v>0</v>
      </c>
      <c r="K133" s="345">
        <f t="shared" si="10"/>
        <v>0</v>
      </c>
      <c r="L133" s="345">
        <f t="shared" si="10"/>
        <v>0</v>
      </c>
      <c r="M133" s="345">
        <f t="shared" si="10"/>
        <v>0</v>
      </c>
      <c r="N133" s="345">
        <f t="shared" si="10"/>
        <v>0</v>
      </c>
    </row>
    <row r="134" spans="1:14" s="330" customFormat="1">
      <c r="A134" s="347" t="str">
        <f>IF($M$82=0,"１８歳以上","１８歳未満")</f>
        <v>１８歳以上</v>
      </c>
      <c r="B134" s="345" t="s">
        <v>59</v>
      </c>
      <c r="C134" s="345">
        <f t="shared" ref="C134:N134" si="11">IF(AC106=0,0,IF($A$134="１８歳未満",4,AC106))</f>
        <v>0</v>
      </c>
      <c r="D134" s="345">
        <f t="shared" si="11"/>
        <v>0</v>
      </c>
      <c r="E134" s="345">
        <f t="shared" si="11"/>
        <v>0</v>
      </c>
      <c r="F134" s="345">
        <f t="shared" si="11"/>
        <v>0</v>
      </c>
      <c r="G134" s="345">
        <f t="shared" si="11"/>
        <v>0</v>
      </c>
      <c r="H134" s="345">
        <f t="shared" si="11"/>
        <v>0</v>
      </c>
      <c r="I134" s="345">
        <f t="shared" si="11"/>
        <v>0</v>
      </c>
      <c r="J134" s="345">
        <f t="shared" si="11"/>
        <v>0</v>
      </c>
      <c r="K134" s="345">
        <f t="shared" si="11"/>
        <v>0</v>
      </c>
      <c r="L134" s="345">
        <f t="shared" si="11"/>
        <v>0</v>
      </c>
      <c r="M134" s="345">
        <f t="shared" si="11"/>
        <v>0</v>
      </c>
      <c r="N134" s="345">
        <f t="shared" si="11"/>
        <v>0</v>
      </c>
    </row>
    <row r="135" spans="1:14" s="330" customFormat="1">
      <c r="A135" s="346" t="s">
        <v>83</v>
      </c>
      <c r="B135" s="345" t="s">
        <v>33</v>
      </c>
      <c r="C135" s="345">
        <f t="shared" ref="C135:N135" si="12">IF(AC108=0,0,IF($A$137="未就学児",2,AC108))</f>
        <v>0</v>
      </c>
      <c r="D135" s="345">
        <f t="shared" si="12"/>
        <v>0</v>
      </c>
      <c r="E135" s="345">
        <f t="shared" si="12"/>
        <v>0</v>
      </c>
      <c r="F135" s="345">
        <f t="shared" si="12"/>
        <v>0</v>
      </c>
      <c r="G135" s="345">
        <f t="shared" si="12"/>
        <v>0</v>
      </c>
      <c r="H135" s="345">
        <f t="shared" si="12"/>
        <v>0</v>
      </c>
      <c r="I135" s="345">
        <f t="shared" si="12"/>
        <v>0</v>
      </c>
      <c r="J135" s="345">
        <f t="shared" si="12"/>
        <v>0</v>
      </c>
      <c r="K135" s="345">
        <f t="shared" si="12"/>
        <v>0</v>
      </c>
      <c r="L135" s="345">
        <f t="shared" si="12"/>
        <v>0</v>
      </c>
      <c r="M135" s="345">
        <f t="shared" si="12"/>
        <v>0</v>
      </c>
      <c r="N135" s="345">
        <f t="shared" si="12"/>
        <v>0</v>
      </c>
    </row>
    <row r="136" spans="1:14" s="330" customFormat="1">
      <c r="A136" s="347"/>
      <c r="B136" s="345" t="s">
        <v>57</v>
      </c>
      <c r="C136" s="345">
        <f t="shared" ref="C136:N136" si="13">C135</f>
        <v>0</v>
      </c>
      <c r="D136" s="345">
        <f t="shared" si="13"/>
        <v>0</v>
      </c>
      <c r="E136" s="345">
        <f t="shared" si="13"/>
        <v>0</v>
      </c>
      <c r="F136" s="345">
        <f t="shared" si="13"/>
        <v>0</v>
      </c>
      <c r="G136" s="345">
        <f t="shared" si="13"/>
        <v>0</v>
      </c>
      <c r="H136" s="345">
        <f t="shared" si="13"/>
        <v>0</v>
      </c>
      <c r="I136" s="345">
        <f t="shared" si="13"/>
        <v>0</v>
      </c>
      <c r="J136" s="345">
        <f t="shared" si="13"/>
        <v>0</v>
      </c>
      <c r="K136" s="345">
        <f t="shared" si="13"/>
        <v>0</v>
      </c>
      <c r="L136" s="345">
        <f t="shared" si="13"/>
        <v>0</v>
      </c>
      <c r="M136" s="345">
        <f t="shared" si="13"/>
        <v>0</v>
      </c>
      <c r="N136" s="345">
        <f t="shared" si="13"/>
        <v>0</v>
      </c>
    </row>
    <row r="137" spans="1:14" s="330" customFormat="1">
      <c r="A137" s="347" t="str">
        <f>IF($L$84=0,"一般","未就学児")</f>
        <v>一般</v>
      </c>
      <c r="B137" s="345" t="s">
        <v>28</v>
      </c>
      <c r="C137" s="345">
        <f t="shared" ref="C137:N137" si="14">IF(AC109=0,0,AC109)</f>
        <v>0</v>
      </c>
      <c r="D137" s="345">
        <f t="shared" si="14"/>
        <v>0</v>
      </c>
      <c r="E137" s="345">
        <f t="shared" si="14"/>
        <v>0</v>
      </c>
      <c r="F137" s="345">
        <f t="shared" si="14"/>
        <v>0</v>
      </c>
      <c r="G137" s="345">
        <f t="shared" si="14"/>
        <v>0</v>
      </c>
      <c r="H137" s="345">
        <f t="shared" si="14"/>
        <v>0</v>
      </c>
      <c r="I137" s="345">
        <f t="shared" si="14"/>
        <v>0</v>
      </c>
      <c r="J137" s="345">
        <f t="shared" si="14"/>
        <v>0</v>
      </c>
      <c r="K137" s="345">
        <f t="shared" si="14"/>
        <v>0</v>
      </c>
      <c r="L137" s="345">
        <f t="shared" si="14"/>
        <v>0</v>
      </c>
      <c r="M137" s="345">
        <f t="shared" si="14"/>
        <v>0</v>
      </c>
      <c r="N137" s="345">
        <f t="shared" si="14"/>
        <v>0</v>
      </c>
    </row>
    <row r="138" spans="1:14" s="330" customFormat="1">
      <c r="A138" s="347" t="str">
        <f>IF($M$84=0,"１８歳以上","１８歳未満")</f>
        <v>１８歳以上</v>
      </c>
      <c r="B138" s="345" t="s">
        <v>59</v>
      </c>
      <c r="C138" s="345">
        <f t="shared" ref="C138:N138" si="15">IF(AC108=0,0,IF($A$138="１８歳未満",4,AC108))</f>
        <v>0</v>
      </c>
      <c r="D138" s="345">
        <f t="shared" si="15"/>
        <v>0</v>
      </c>
      <c r="E138" s="345">
        <f t="shared" si="15"/>
        <v>0</v>
      </c>
      <c r="F138" s="345">
        <f t="shared" si="15"/>
        <v>0</v>
      </c>
      <c r="G138" s="345">
        <f t="shared" si="15"/>
        <v>0</v>
      </c>
      <c r="H138" s="345">
        <f t="shared" si="15"/>
        <v>0</v>
      </c>
      <c r="I138" s="345">
        <f t="shared" si="15"/>
        <v>0</v>
      </c>
      <c r="J138" s="345">
        <f t="shared" si="15"/>
        <v>0</v>
      </c>
      <c r="K138" s="345">
        <f t="shared" si="15"/>
        <v>0</v>
      </c>
      <c r="L138" s="345">
        <f t="shared" si="15"/>
        <v>0</v>
      </c>
      <c r="M138" s="345">
        <f t="shared" si="15"/>
        <v>0</v>
      </c>
      <c r="N138" s="345">
        <f t="shared" si="15"/>
        <v>0</v>
      </c>
    </row>
    <row r="139" spans="1:14" s="330" customFormat="1">
      <c r="A139" s="346" t="s">
        <v>84</v>
      </c>
      <c r="B139" s="345" t="s">
        <v>33</v>
      </c>
      <c r="C139" s="345">
        <f t="shared" ref="C139:N139" si="16">IF(AC110=0,0,IF($A$141="未就学児",2,AC110))</f>
        <v>0</v>
      </c>
      <c r="D139" s="345">
        <f t="shared" si="16"/>
        <v>0</v>
      </c>
      <c r="E139" s="345">
        <f t="shared" si="16"/>
        <v>0</v>
      </c>
      <c r="F139" s="345">
        <f t="shared" si="16"/>
        <v>0</v>
      </c>
      <c r="G139" s="345">
        <f t="shared" si="16"/>
        <v>0</v>
      </c>
      <c r="H139" s="345">
        <f t="shared" si="16"/>
        <v>0</v>
      </c>
      <c r="I139" s="345">
        <f t="shared" si="16"/>
        <v>0</v>
      </c>
      <c r="J139" s="345">
        <f t="shared" si="16"/>
        <v>0</v>
      </c>
      <c r="K139" s="345">
        <f t="shared" si="16"/>
        <v>0</v>
      </c>
      <c r="L139" s="345">
        <f t="shared" si="16"/>
        <v>0</v>
      </c>
      <c r="M139" s="345">
        <f t="shared" si="16"/>
        <v>0</v>
      </c>
      <c r="N139" s="345">
        <f t="shared" si="16"/>
        <v>0</v>
      </c>
    </row>
    <row r="140" spans="1:14" s="330" customFormat="1">
      <c r="A140" s="347"/>
      <c r="B140" s="345" t="s">
        <v>57</v>
      </c>
      <c r="C140" s="345">
        <f t="shared" ref="C140:N140" si="17">C139</f>
        <v>0</v>
      </c>
      <c r="D140" s="345">
        <f t="shared" si="17"/>
        <v>0</v>
      </c>
      <c r="E140" s="345">
        <f t="shared" si="17"/>
        <v>0</v>
      </c>
      <c r="F140" s="345">
        <f t="shared" si="17"/>
        <v>0</v>
      </c>
      <c r="G140" s="345">
        <f t="shared" si="17"/>
        <v>0</v>
      </c>
      <c r="H140" s="345">
        <f t="shared" si="17"/>
        <v>0</v>
      </c>
      <c r="I140" s="345">
        <f t="shared" si="17"/>
        <v>0</v>
      </c>
      <c r="J140" s="345">
        <f t="shared" si="17"/>
        <v>0</v>
      </c>
      <c r="K140" s="345">
        <f t="shared" si="17"/>
        <v>0</v>
      </c>
      <c r="L140" s="345">
        <f t="shared" si="17"/>
        <v>0</v>
      </c>
      <c r="M140" s="345">
        <f t="shared" si="17"/>
        <v>0</v>
      </c>
      <c r="N140" s="345">
        <f t="shared" si="17"/>
        <v>0</v>
      </c>
    </row>
    <row r="141" spans="1:14" s="330" customFormat="1">
      <c r="A141" s="347" t="str">
        <f>IF($L$86=0,"一般","未就学児")</f>
        <v>一般</v>
      </c>
      <c r="B141" s="345" t="s">
        <v>28</v>
      </c>
      <c r="C141" s="345">
        <f t="shared" ref="C141:N141" si="18">IF(AC111=0,0,AC111)</f>
        <v>0</v>
      </c>
      <c r="D141" s="345">
        <f t="shared" si="18"/>
        <v>0</v>
      </c>
      <c r="E141" s="345">
        <f t="shared" si="18"/>
        <v>0</v>
      </c>
      <c r="F141" s="345">
        <f t="shared" si="18"/>
        <v>0</v>
      </c>
      <c r="G141" s="345">
        <f t="shared" si="18"/>
        <v>0</v>
      </c>
      <c r="H141" s="345">
        <f t="shared" si="18"/>
        <v>0</v>
      </c>
      <c r="I141" s="345">
        <f t="shared" si="18"/>
        <v>0</v>
      </c>
      <c r="J141" s="345">
        <f t="shared" si="18"/>
        <v>0</v>
      </c>
      <c r="K141" s="345">
        <f t="shared" si="18"/>
        <v>0</v>
      </c>
      <c r="L141" s="345">
        <f t="shared" si="18"/>
        <v>0</v>
      </c>
      <c r="M141" s="345">
        <f t="shared" si="18"/>
        <v>0</v>
      </c>
      <c r="N141" s="345">
        <f t="shared" si="18"/>
        <v>0</v>
      </c>
    </row>
    <row r="142" spans="1:14" s="330" customFormat="1">
      <c r="A142" s="347" t="str">
        <f>IF($M$86=0,"１８歳以上","１８歳未満")</f>
        <v>１８歳以上</v>
      </c>
      <c r="B142" s="345" t="s">
        <v>59</v>
      </c>
      <c r="C142" s="345">
        <f t="shared" ref="C142:N142" si="19">IF(AC110=0,0,IF($A$142="１８歳未満",4,AC110))</f>
        <v>0</v>
      </c>
      <c r="D142" s="345">
        <f t="shared" si="19"/>
        <v>0</v>
      </c>
      <c r="E142" s="345">
        <f t="shared" si="19"/>
        <v>0</v>
      </c>
      <c r="F142" s="345">
        <f t="shared" si="19"/>
        <v>0</v>
      </c>
      <c r="G142" s="345">
        <f t="shared" si="19"/>
        <v>0</v>
      </c>
      <c r="H142" s="345">
        <f t="shared" si="19"/>
        <v>0</v>
      </c>
      <c r="I142" s="345">
        <f t="shared" si="19"/>
        <v>0</v>
      </c>
      <c r="J142" s="345">
        <f t="shared" si="19"/>
        <v>0</v>
      </c>
      <c r="K142" s="345">
        <f t="shared" si="19"/>
        <v>0</v>
      </c>
      <c r="L142" s="345">
        <f t="shared" si="19"/>
        <v>0</v>
      </c>
      <c r="M142" s="345">
        <f t="shared" si="19"/>
        <v>0</v>
      </c>
      <c r="N142" s="345">
        <f t="shared" si="19"/>
        <v>0</v>
      </c>
    </row>
    <row r="143" spans="1:14" s="330" customFormat="1">
      <c r="A143" s="346" t="s">
        <v>86</v>
      </c>
      <c r="B143" s="345" t="s">
        <v>33</v>
      </c>
      <c r="C143" s="345">
        <f t="shared" ref="C143:N143" si="20">IF(AC112=0,0,IF($A$145="未就学児",2,AC112))</f>
        <v>0</v>
      </c>
      <c r="D143" s="345">
        <f t="shared" si="20"/>
        <v>0</v>
      </c>
      <c r="E143" s="345">
        <f t="shared" si="20"/>
        <v>0</v>
      </c>
      <c r="F143" s="345">
        <f t="shared" si="20"/>
        <v>0</v>
      </c>
      <c r="G143" s="345">
        <f t="shared" si="20"/>
        <v>0</v>
      </c>
      <c r="H143" s="345">
        <f t="shared" si="20"/>
        <v>0</v>
      </c>
      <c r="I143" s="345">
        <f t="shared" si="20"/>
        <v>0</v>
      </c>
      <c r="J143" s="345">
        <f t="shared" si="20"/>
        <v>0</v>
      </c>
      <c r="K143" s="345">
        <f t="shared" si="20"/>
        <v>0</v>
      </c>
      <c r="L143" s="345">
        <f t="shared" si="20"/>
        <v>0</v>
      </c>
      <c r="M143" s="345">
        <f t="shared" si="20"/>
        <v>0</v>
      </c>
      <c r="N143" s="345">
        <f t="shared" si="20"/>
        <v>0</v>
      </c>
    </row>
    <row r="144" spans="1:14" s="330" customFormat="1">
      <c r="A144" s="347"/>
      <c r="B144" s="345" t="s">
        <v>57</v>
      </c>
      <c r="C144" s="345">
        <f t="shared" ref="C144:N144" si="21">C143</f>
        <v>0</v>
      </c>
      <c r="D144" s="345">
        <f t="shared" si="21"/>
        <v>0</v>
      </c>
      <c r="E144" s="345">
        <f t="shared" si="21"/>
        <v>0</v>
      </c>
      <c r="F144" s="345">
        <f t="shared" si="21"/>
        <v>0</v>
      </c>
      <c r="G144" s="345">
        <f t="shared" si="21"/>
        <v>0</v>
      </c>
      <c r="H144" s="345">
        <f t="shared" si="21"/>
        <v>0</v>
      </c>
      <c r="I144" s="345">
        <f t="shared" si="21"/>
        <v>0</v>
      </c>
      <c r="J144" s="345">
        <f t="shared" si="21"/>
        <v>0</v>
      </c>
      <c r="K144" s="345">
        <f t="shared" si="21"/>
        <v>0</v>
      </c>
      <c r="L144" s="345">
        <f t="shared" si="21"/>
        <v>0</v>
      </c>
      <c r="M144" s="345">
        <f t="shared" si="21"/>
        <v>0</v>
      </c>
      <c r="N144" s="345">
        <f t="shared" si="21"/>
        <v>0</v>
      </c>
    </row>
    <row r="145" spans="1:14" s="330" customFormat="1">
      <c r="A145" s="347" t="str">
        <f>IF($L$88=0,"一般","未就学児")</f>
        <v>一般</v>
      </c>
      <c r="B145" s="345" t="s">
        <v>28</v>
      </c>
      <c r="C145" s="345">
        <f t="shared" ref="C145:N145" si="22">IF(AC113=0,0,AC113)</f>
        <v>0</v>
      </c>
      <c r="D145" s="345">
        <f t="shared" si="22"/>
        <v>0</v>
      </c>
      <c r="E145" s="345">
        <f t="shared" si="22"/>
        <v>0</v>
      </c>
      <c r="F145" s="345">
        <f t="shared" si="22"/>
        <v>0</v>
      </c>
      <c r="G145" s="345">
        <f t="shared" si="22"/>
        <v>0</v>
      </c>
      <c r="H145" s="345">
        <f t="shared" si="22"/>
        <v>0</v>
      </c>
      <c r="I145" s="345">
        <f t="shared" si="22"/>
        <v>0</v>
      </c>
      <c r="J145" s="345">
        <f t="shared" si="22"/>
        <v>0</v>
      </c>
      <c r="K145" s="345">
        <f t="shared" si="22"/>
        <v>0</v>
      </c>
      <c r="L145" s="345">
        <f t="shared" si="22"/>
        <v>0</v>
      </c>
      <c r="M145" s="345">
        <f t="shared" si="22"/>
        <v>0</v>
      </c>
      <c r="N145" s="345">
        <f t="shared" si="22"/>
        <v>0</v>
      </c>
    </row>
    <row r="146" spans="1:14" s="330" customFormat="1">
      <c r="A146" s="347" t="str">
        <f>IF($M$88=0,"１８歳以上","１８歳未満")</f>
        <v>１８歳以上</v>
      </c>
      <c r="B146" s="345" t="s">
        <v>59</v>
      </c>
      <c r="C146" s="345">
        <f t="shared" ref="C146:N146" si="23">IF(AC112=0,0,IF($A$146="１８歳未満",4,AC112))</f>
        <v>0</v>
      </c>
      <c r="D146" s="345">
        <f t="shared" si="23"/>
        <v>0</v>
      </c>
      <c r="E146" s="345">
        <f t="shared" si="23"/>
        <v>0</v>
      </c>
      <c r="F146" s="345">
        <f t="shared" si="23"/>
        <v>0</v>
      </c>
      <c r="G146" s="345">
        <f t="shared" si="23"/>
        <v>0</v>
      </c>
      <c r="H146" s="345">
        <f t="shared" si="23"/>
        <v>0</v>
      </c>
      <c r="I146" s="345">
        <f t="shared" si="23"/>
        <v>0</v>
      </c>
      <c r="J146" s="345">
        <f t="shared" si="23"/>
        <v>0</v>
      </c>
      <c r="K146" s="345">
        <f t="shared" si="23"/>
        <v>0</v>
      </c>
      <c r="L146" s="345">
        <f t="shared" si="23"/>
        <v>0</v>
      </c>
      <c r="M146" s="345">
        <f t="shared" si="23"/>
        <v>0</v>
      </c>
      <c r="N146" s="345">
        <f t="shared" si="23"/>
        <v>0</v>
      </c>
    </row>
    <row r="147" spans="1:14" s="330" customFormat="1">
      <c r="A147" s="346" t="s">
        <v>87</v>
      </c>
      <c r="B147" s="345" t="s">
        <v>33</v>
      </c>
      <c r="C147" s="345">
        <f t="shared" ref="C147:N147" si="24">IF(AC114=0,0,IF($A$149="未就学児",2,AC114))</f>
        <v>0</v>
      </c>
      <c r="D147" s="345">
        <f t="shared" si="24"/>
        <v>0</v>
      </c>
      <c r="E147" s="345">
        <f t="shared" si="24"/>
        <v>0</v>
      </c>
      <c r="F147" s="345">
        <f t="shared" si="24"/>
        <v>0</v>
      </c>
      <c r="G147" s="345">
        <f t="shared" si="24"/>
        <v>0</v>
      </c>
      <c r="H147" s="345">
        <f t="shared" si="24"/>
        <v>0</v>
      </c>
      <c r="I147" s="345">
        <f t="shared" si="24"/>
        <v>0</v>
      </c>
      <c r="J147" s="345">
        <f t="shared" si="24"/>
        <v>0</v>
      </c>
      <c r="K147" s="345">
        <f t="shared" si="24"/>
        <v>0</v>
      </c>
      <c r="L147" s="345">
        <f t="shared" si="24"/>
        <v>0</v>
      </c>
      <c r="M147" s="345">
        <f t="shared" si="24"/>
        <v>0</v>
      </c>
      <c r="N147" s="345">
        <f t="shared" si="24"/>
        <v>0</v>
      </c>
    </row>
    <row r="148" spans="1:14" s="330" customFormat="1">
      <c r="A148" s="347"/>
      <c r="B148" s="345" t="s">
        <v>57</v>
      </c>
      <c r="C148" s="345">
        <f t="shared" ref="C148:N148" si="25">C147</f>
        <v>0</v>
      </c>
      <c r="D148" s="345">
        <f t="shared" si="25"/>
        <v>0</v>
      </c>
      <c r="E148" s="345">
        <f t="shared" si="25"/>
        <v>0</v>
      </c>
      <c r="F148" s="345">
        <f t="shared" si="25"/>
        <v>0</v>
      </c>
      <c r="G148" s="345">
        <f t="shared" si="25"/>
        <v>0</v>
      </c>
      <c r="H148" s="345">
        <f t="shared" si="25"/>
        <v>0</v>
      </c>
      <c r="I148" s="345">
        <f t="shared" si="25"/>
        <v>0</v>
      </c>
      <c r="J148" s="345">
        <f t="shared" si="25"/>
        <v>0</v>
      </c>
      <c r="K148" s="345">
        <f t="shared" si="25"/>
        <v>0</v>
      </c>
      <c r="L148" s="345">
        <f t="shared" si="25"/>
        <v>0</v>
      </c>
      <c r="M148" s="345">
        <f t="shared" si="25"/>
        <v>0</v>
      </c>
      <c r="N148" s="345">
        <f t="shared" si="25"/>
        <v>0</v>
      </c>
    </row>
    <row r="149" spans="1:14" s="330" customFormat="1">
      <c r="A149" s="347" t="str">
        <f>IF($L$90=0,"一般","未就学児")</f>
        <v>一般</v>
      </c>
      <c r="B149" s="345" t="s">
        <v>28</v>
      </c>
      <c r="C149" s="345">
        <f t="shared" ref="C149:N149" si="26">IF(AC115=0,0,AC115)</f>
        <v>0</v>
      </c>
      <c r="D149" s="345">
        <f t="shared" si="26"/>
        <v>0</v>
      </c>
      <c r="E149" s="345">
        <f t="shared" si="26"/>
        <v>0</v>
      </c>
      <c r="F149" s="345">
        <f t="shared" si="26"/>
        <v>0</v>
      </c>
      <c r="G149" s="345">
        <f t="shared" si="26"/>
        <v>0</v>
      </c>
      <c r="H149" s="345">
        <f t="shared" si="26"/>
        <v>0</v>
      </c>
      <c r="I149" s="345">
        <f t="shared" si="26"/>
        <v>0</v>
      </c>
      <c r="J149" s="345">
        <f t="shared" si="26"/>
        <v>0</v>
      </c>
      <c r="K149" s="345">
        <f t="shared" si="26"/>
        <v>0</v>
      </c>
      <c r="L149" s="345">
        <f t="shared" si="26"/>
        <v>0</v>
      </c>
      <c r="M149" s="345">
        <f t="shared" si="26"/>
        <v>0</v>
      </c>
      <c r="N149" s="345">
        <f t="shared" si="26"/>
        <v>0</v>
      </c>
    </row>
    <row r="150" spans="1:14" s="330" customFormat="1">
      <c r="A150" s="347" t="str">
        <f>IF($M$90=0,"１８歳以上","１８歳未満")</f>
        <v>１８歳以上</v>
      </c>
      <c r="B150" s="345" t="s">
        <v>59</v>
      </c>
      <c r="C150" s="345">
        <f t="shared" ref="C150:N150" si="27">IF(AC114=0,0,IF($A$150="１８歳未満",4,AC114))</f>
        <v>0</v>
      </c>
      <c r="D150" s="345">
        <f t="shared" si="27"/>
        <v>0</v>
      </c>
      <c r="E150" s="345">
        <f t="shared" si="27"/>
        <v>0</v>
      </c>
      <c r="F150" s="345">
        <f t="shared" si="27"/>
        <v>0</v>
      </c>
      <c r="G150" s="345">
        <f t="shared" si="27"/>
        <v>0</v>
      </c>
      <c r="H150" s="345">
        <f t="shared" si="27"/>
        <v>0</v>
      </c>
      <c r="I150" s="345">
        <f t="shared" si="27"/>
        <v>0</v>
      </c>
      <c r="J150" s="345">
        <f t="shared" si="27"/>
        <v>0</v>
      </c>
      <c r="K150" s="345">
        <f t="shared" si="27"/>
        <v>0</v>
      </c>
      <c r="L150" s="345">
        <f t="shared" si="27"/>
        <v>0</v>
      </c>
      <c r="M150" s="345">
        <f t="shared" si="27"/>
        <v>0</v>
      </c>
      <c r="N150" s="345">
        <f t="shared" si="27"/>
        <v>0</v>
      </c>
    </row>
    <row r="151" spans="1:14" s="330" customFormat="1">
      <c r="A151" s="346" t="s">
        <v>89</v>
      </c>
      <c r="B151" s="345" t="s">
        <v>33</v>
      </c>
      <c r="C151" s="345">
        <f t="shared" ref="C151:N151" si="28">IF(AC116=0,0,IF($A$153="未就学児",2,AC116))</f>
        <v>0</v>
      </c>
      <c r="D151" s="345">
        <f t="shared" si="28"/>
        <v>0</v>
      </c>
      <c r="E151" s="345">
        <f t="shared" si="28"/>
        <v>0</v>
      </c>
      <c r="F151" s="345">
        <f t="shared" si="28"/>
        <v>0</v>
      </c>
      <c r="G151" s="345">
        <f t="shared" si="28"/>
        <v>0</v>
      </c>
      <c r="H151" s="345">
        <f t="shared" si="28"/>
        <v>0</v>
      </c>
      <c r="I151" s="345">
        <f t="shared" si="28"/>
        <v>0</v>
      </c>
      <c r="J151" s="345">
        <f t="shared" si="28"/>
        <v>0</v>
      </c>
      <c r="K151" s="345">
        <f t="shared" si="28"/>
        <v>0</v>
      </c>
      <c r="L151" s="345">
        <f t="shared" si="28"/>
        <v>0</v>
      </c>
      <c r="M151" s="345">
        <f t="shared" si="28"/>
        <v>0</v>
      </c>
      <c r="N151" s="345">
        <f t="shared" si="28"/>
        <v>0</v>
      </c>
    </row>
    <row r="152" spans="1:14" s="330" customFormat="1">
      <c r="A152" s="347"/>
      <c r="B152" s="345" t="s">
        <v>57</v>
      </c>
      <c r="C152" s="345">
        <f t="shared" ref="C152:N152" si="29">C151</f>
        <v>0</v>
      </c>
      <c r="D152" s="345">
        <f t="shared" si="29"/>
        <v>0</v>
      </c>
      <c r="E152" s="345">
        <f t="shared" si="29"/>
        <v>0</v>
      </c>
      <c r="F152" s="345">
        <f t="shared" si="29"/>
        <v>0</v>
      </c>
      <c r="G152" s="345">
        <f t="shared" si="29"/>
        <v>0</v>
      </c>
      <c r="H152" s="345">
        <f t="shared" si="29"/>
        <v>0</v>
      </c>
      <c r="I152" s="345">
        <f t="shared" si="29"/>
        <v>0</v>
      </c>
      <c r="J152" s="345">
        <f t="shared" si="29"/>
        <v>0</v>
      </c>
      <c r="K152" s="345">
        <f t="shared" si="29"/>
        <v>0</v>
      </c>
      <c r="L152" s="345">
        <f t="shared" si="29"/>
        <v>0</v>
      </c>
      <c r="M152" s="345">
        <f t="shared" si="29"/>
        <v>0</v>
      </c>
      <c r="N152" s="345">
        <f t="shared" si="29"/>
        <v>0</v>
      </c>
    </row>
    <row r="153" spans="1:14" s="330" customFormat="1">
      <c r="A153" s="347" t="str">
        <f>IF($L$92=0,"一般","未就学児")</f>
        <v>一般</v>
      </c>
      <c r="B153" s="345" t="s">
        <v>28</v>
      </c>
      <c r="C153" s="345">
        <f t="shared" ref="C153:N153" si="30">IF(AC117=0,0,AC117)</f>
        <v>0</v>
      </c>
      <c r="D153" s="345">
        <f t="shared" si="30"/>
        <v>0</v>
      </c>
      <c r="E153" s="345">
        <f t="shared" si="30"/>
        <v>0</v>
      </c>
      <c r="F153" s="345">
        <f t="shared" si="30"/>
        <v>0</v>
      </c>
      <c r="G153" s="345">
        <f t="shared" si="30"/>
        <v>0</v>
      </c>
      <c r="H153" s="345">
        <f t="shared" si="30"/>
        <v>0</v>
      </c>
      <c r="I153" s="345">
        <f t="shared" si="30"/>
        <v>0</v>
      </c>
      <c r="J153" s="345">
        <f t="shared" si="30"/>
        <v>0</v>
      </c>
      <c r="K153" s="345">
        <f t="shared" si="30"/>
        <v>0</v>
      </c>
      <c r="L153" s="345">
        <f t="shared" si="30"/>
        <v>0</v>
      </c>
      <c r="M153" s="345">
        <f t="shared" si="30"/>
        <v>0</v>
      </c>
      <c r="N153" s="345">
        <f t="shared" si="30"/>
        <v>0</v>
      </c>
    </row>
    <row r="154" spans="1:14" s="330" customFormat="1">
      <c r="A154" s="347" t="str">
        <f>IF($M$92=0,"１８歳以上","１８歳未満")</f>
        <v>１８歳以上</v>
      </c>
      <c r="B154" s="345" t="s">
        <v>59</v>
      </c>
      <c r="C154" s="345">
        <f t="shared" ref="C154:N154" si="31">IF(AC116=0,0,IF($A$154="１８歳未満",4,AC116))</f>
        <v>0</v>
      </c>
      <c r="D154" s="345">
        <f t="shared" si="31"/>
        <v>0</v>
      </c>
      <c r="E154" s="345">
        <f t="shared" si="31"/>
        <v>0</v>
      </c>
      <c r="F154" s="345">
        <f t="shared" si="31"/>
        <v>0</v>
      </c>
      <c r="G154" s="345">
        <f t="shared" si="31"/>
        <v>0</v>
      </c>
      <c r="H154" s="345">
        <f t="shared" si="31"/>
        <v>0</v>
      </c>
      <c r="I154" s="345">
        <f t="shared" si="31"/>
        <v>0</v>
      </c>
      <c r="J154" s="345">
        <f t="shared" si="31"/>
        <v>0</v>
      </c>
      <c r="K154" s="345">
        <f t="shared" si="31"/>
        <v>0</v>
      </c>
      <c r="L154" s="345">
        <f t="shared" si="31"/>
        <v>0</v>
      </c>
      <c r="M154" s="345">
        <f t="shared" si="31"/>
        <v>0</v>
      </c>
      <c r="N154" s="345">
        <f t="shared" si="31"/>
        <v>0</v>
      </c>
    </row>
    <row r="155" spans="1:14" s="330" customFormat="1">
      <c r="A155" s="346" t="s">
        <v>91</v>
      </c>
      <c r="B155" s="345" t="s">
        <v>33</v>
      </c>
      <c r="C155" s="345">
        <f t="shared" ref="C155:N155" si="32">IF(AC118=0,0,IF($A$157="未就学児",2,AC118))</f>
        <v>0</v>
      </c>
      <c r="D155" s="345">
        <f t="shared" si="32"/>
        <v>0</v>
      </c>
      <c r="E155" s="345">
        <f t="shared" si="32"/>
        <v>0</v>
      </c>
      <c r="F155" s="345">
        <f t="shared" si="32"/>
        <v>0</v>
      </c>
      <c r="G155" s="345">
        <f t="shared" si="32"/>
        <v>0</v>
      </c>
      <c r="H155" s="345">
        <f t="shared" si="32"/>
        <v>0</v>
      </c>
      <c r="I155" s="345">
        <f t="shared" si="32"/>
        <v>0</v>
      </c>
      <c r="J155" s="345">
        <f t="shared" si="32"/>
        <v>0</v>
      </c>
      <c r="K155" s="345">
        <f t="shared" si="32"/>
        <v>0</v>
      </c>
      <c r="L155" s="345">
        <f t="shared" si="32"/>
        <v>0</v>
      </c>
      <c r="M155" s="345">
        <f t="shared" si="32"/>
        <v>0</v>
      </c>
      <c r="N155" s="345">
        <f t="shared" si="32"/>
        <v>0</v>
      </c>
    </row>
    <row r="156" spans="1:14" s="330" customFormat="1">
      <c r="A156" s="347"/>
      <c r="B156" s="345" t="s">
        <v>57</v>
      </c>
      <c r="C156" s="345">
        <f t="shared" ref="C156:N156" si="33">C155</f>
        <v>0</v>
      </c>
      <c r="D156" s="345">
        <f t="shared" si="33"/>
        <v>0</v>
      </c>
      <c r="E156" s="345">
        <f t="shared" si="33"/>
        <v>0</v>
      </c>
      <c r="F156" s="345">
        <f t="shared" si="33"/>
        <v>0</v>
      </c>
      <c r="G156" s="345">
        <f t="shared" si="33"/>
        <v>0</v>
      </c>
      <c r="H156" s="345">
        <f t="shared" si="33"/>
        <v>0</v>
      </c>
      <c r="I156" s="345">
        <f t="shared" si="33"/>
        <v>0</v>
      </c>
      <c r="J156" s="345">
        <f t="shared" si="33"/>
        <v>0</v>
      </c>
      <c r="K156" s="345">
        <f t="shared" si="33"/>
        <v>0</v>
      </c>
      <c r="L156" s="345">
        <f t="shared" si="33"/>
        <v>0</v>
      </c>
      <c r="M156" s="345">
        <f t="shared" si="33"/>
        <v>0</v>
      </c>
      <c r="N156" s="345">
        <f t="shared" si="33"/>
        <v>0</v>
      </c>
    </row>
    <row r="157" spans="1:14" s="330" customFormat="1">
      <c r="A157" s="347" t="str">
        <f>IF($L$94=0,"一般","未就学児")</f>
        <v>一般</v>
      </c>
      <c r="B157" s="345" t="s">
        <v>28</v>
      </c>
      <c r="C157" s="345">
        <f t="shared" ref="C157:N157" si="34">IF(AC119=0,0,AC119)</f>
        <v>0</v>
      </c>
      <c r="D157" s="345">
        <f t="shared" si="34"/>
        <v>0</v>
      </c>
      <c r="E157" s="345">
        <f t="shared" si="34"/>
        <v>0</v>
      </c>
      <c r="F157" s="345">
        <f t="shared" si="34"/>
        <v>0</v>
      </c>
      <c r="G157" s="345">
        <f t="shared" si="34"/>
        <v>0</v>
      </c>
      <c r="H157" s="345">
        <f t="shared" si="34"/>
        <v>0</v>
      </c>
      <c r="I157" s="345">
        <f t="shared" si="34"/>
        <v>0</v>
      </c>
      <c r="J157" s="345">
        <f t="shared" si="34"/>
        <v>0</v>
      </c>
      <c r="K157" s="345">
        <f t="shared" si="34"/>
        <v>0</v>
      </c>
      <c r="L157" s="345">
        <f t="shared" si="34"/>
        <v>0</v>
      </c>
      <c r="M157" s="345">
        <f t="shared" si="34"/>
        <v>0</v>
      </c>
      <c r="N157" s="345">
        <f t="shared" si="34"/>
        <v>0</v>
      </c>
    </row>
    <row r="158" spans="1:14" s="330" customFormat="1">
      <c r="A158" s="347" t="str">
        <f>IF($M$94=0,"１８歳以上","１８歳未満")</f>
        <v>１８歳以上</v>
      </c>
      <c r="B158" s="345" t="s">
        <v>59</v>
      </c>
      <c r="C158" s="345">
        <f t="shared" ref="C158:N158" si="35">IF(AC118=0,0,IF($A$158="１８歳未満",4,AC118))</f>
        <v>0</v>
      </c>
      <c r="D158" s="345">
        <f t="shared" si="35"/>
        <v>0</v>
      </c>
      <c r="E158" s="345">
        <f t="shared" si="35"/>
        <v>0</v>
      </c>
      <c r="F158" s="345">
        <f t="shared" si="35"/>
        <v>0</v>
      </c>
      <c r="G158" s="345">
        <f t="shared" si="35"/>
        <v>0</v>
      </c>
      <c r="H158" s="345">
        <f t="shared" si="35"/>
        <v>0</v>
      </c>
      <c r="I158" s="345">
        <f t="shared" si="35"/>
        <v>0</v>
      </c>
      <c r="J158" s="345">
        <f t="shared" si="35"/>
        <v>0</v>
      </c>
      <c r="K158" s="345">
        <f t="shared" si="35"/>
        <v>0</v>
      </c>
      <c r="L158" s="345">
        <f t="shared" si="35"/>
        <v>0</v>
      </c>
      <c r="M158" s="345">
        <f t="shared" si="35"/>
        <v>0</v>
      </c>
      <c r="N158" s="345">
        <f t="shared" si="35"/>
        <v>0</v>
      </c>
    </row>
    <row r="159" spans="1:14" s="330" customFormat="1">
      <c r="A159" s="346" t="s">
        <v>143</v>
      </c>
      <c r="B159" s="345" t="s">
        <v>33</v>
      </c>
      <c r="C159" s="345">
        <f t="shared" ref="C159:N159" si="36">IF(C127=2,1,C127)+IF(C131=2,1,C131)+IF(C135=2,1,C135)+IF(C139=2,1,C139)+IF(C143=2,1,C143)+IF(C151=2,1,C151)+IF(C155=2,1,C155)+IF(C147=2,1,C147)</f>
        <v>0</v>
      </c>
      <c r="D159" s="345">
        <f t="shared" si="36"/>
        <v>0</v>
      </c>
      <c r="E159" s="345">
        <f t="shared" si="36"/>
        <v>0</v>
      </c>
      <c r="F159" s="345">
        <f t="shared" si="36"/>
        <v>0</v>
      </c>
      <c r="G159" s="345">
        <f t="shared" si="36"/>
        <v>0</v>
      </c>
      <c r="H159" s="345">
        <f t="shared" si="36"/>
        <v>0</v>
      </c>
      <c r="I159" s="345">
        <f t="shared" si="36"/>
        <v>0</v>
      </c>
      <c r="J159" s="345">
        <f t="shared" si="36"/>
        <v>0</v>
      </c>
      <c r="K159" s="345">
        <f t="shared" si="36"/>
        <v>0</v>
      </c>
      <c r="L159" s="345">
        <f t="shared" si="36"/>
        <v>0</v>
      </c>
      <c r="M159" s="345">
        <f t="shared" si="36"/>
        <v>0</v>
      </c>
      <c r="N159" s="334">
        <f t="shared" si="36"/>
        <v>0</v>
      </c>
    </row>
    <row r="160" spans="1:14" s="330" customFormat="1">
      <c r="A160" s="347"/>
      <c r="B160" s="345" t="s">
        <v>57</v>
      </c>
      <c r="C160" s="345">
        <f t="shared" ref="C160:N160" si="37">C159</f>
        <v>0</v>
      </c>
      <c r="D160" s="345">
        <f t="shared" si="37"/>
        <v>0</v>
      </c>
      <c r="E160" s="345">
        <f t="shared" si="37"/>
        <v>0</v>
      </c>
      <c r="F160" s="345">
        <f t="shared" si="37"/>
        <v>0</v>
      </c>
      <c r="G160" s="345">
        <f t="shared" si="37"/>
        <v>0</v>
      </c>
      <c r="H160" s="345">
        <f t="shared" si="37"/>
        <v>0</v>
      </c>
      <c r="I160" s="345">
        <f t="shared" si="37"/>
        <v>0</v>
      </c>
      <c r="J160" s="345">
        <f t="shared" si="37"/>
        <v>0</v>
      </c>
      <c r="K160" s="345">
        <f t="shared" si="37"/>
        <v>0</v>
      </c>
      <c r="L160" s="345">
        <f t="shared" si="37"/>
        <v>0</v>
      </c>
      <c r="M160" s="345">
        <f t="shared" si="37"/>
        <v>0</v>
      </c>
      <c r="N160" s="334">
        <f t="shared" si="37"/>
        <v>0</v>
      </c>
    </row>
    <row r="161" spans="1:17" s="330" customFormat="1">
      <c r="A161" s="347"/>
      <c r="B161" s="345" t="s">
        <v>28</v>
      </c>
      <c r="C161" s="345">
        <f t="shared" ref="C161:N161" si="38">IF(C129=2,1,C129)+IF(C133=2,1,C133)+IF(C137=2,1,C137)+IF(C141=2,1,C141)+IF(C145=2,1,C145)+IF(C153=2,1,C153)+IF(C157=2,1,C157)+IF(C149=2,1,C149)</f>
        <v>0</v>
      </c>
      <c r="D161" s="345">
        <f t="shared" si="38"/>
        <v>0</v>
      </c>
      <c r="E161" s="345">
        <f t="shared" si="38"/>
        <v>0</v>
      </c>
      <c r="F161" s="345">
        <f t="shared" si="38"/>
        <v>0</v>
      </c>
      <c r="G161" s="345">
        <f t="shared" si="38"/>
        <v>0</v>
      </c>
      <c r="H161" s="345">
        <f t="shared" si="38"/>
        <v>0</v>
      </c>
      <c r="I161" s="345">
        <f t="shared" si="38"/>
        <v>0</v>
      </c>
      <c r="J161" s="345">
        <f t="shared" si="38"/>
        <v>0</v>
      </c>
      <c r="K161" s="345">
        <f t="shared" si="38"/>
        <v>0</v>
      </c>
      <c r="L161" s="345">
        <f t="shared" si="38"/>
        <v>0</v>
      </c>
      <c r="M161" s="345">
        <f t="shared" si="38"/>
        <v>0</v>
      </c>
      <c r="N161" s="334">
        <f t="shared" si="38"/>
        <v>0</v>
      </c>
      <c r="O161" s="330"/>
      <c r="P161" s="330"/>
      <c r="Q161" s="330"/>
    </row>
    <row r="162" spans="1:17" s="330" customFormat="1">
      <c r="A162" s="348"/>
      <c r="B162" s="345" t="s">
        <v>59</v>
      </c>
      <c r="C162" s="345">
        <f t="shared" ref="C162:N162" si="39">IF(C130=4,1,C130)+IF(C134=4,1,C134)+IF(C138=4,1,C138)+IF(C142=4,1,C142)+IF(C146=4,1,C146)+IF(C154=4,1,C154)+IF(C158=4,1,C158)+IF(C150=4,1,C150)</f>
        <v>0</v>
      </c>
      <c r="D162" s="345">
        <f t="shared" si="39"/>
        <v>0</v>
      </c>
      <c r="E162" s="345">
        <f t="shared" si="39"/>
        <v>0</v>
      </c>
      <c r="F162" s="345">
        <f t="shared" si="39"/>
        <v>0</v>
      </c>
      <c r="G162" s="345">
        <f t="shared" si="39"/>
        <v>0</v>
      </c>
      <c r="H162" s="345">
        <f t="shared" si="39"/>
        <v>0</v>
      </c>
      <c r="I162" s="345">
        <f t="shared" si="39"/>
        <v>0</v>
      </c>
      <c r="J162" s="345">
        <f t="shared" si="39"/>
        <v>0</v>
      </c>
      <c r="K162" s="345">
        <f t="shared" si="39"/>
        <v>0</v>
      </c>
      <c r="L162" s="345">
        <f t="shared" si="39"/>
        <v>0</v>
      </c>
      <c r="M162" s="345">
        <f t="shared" si="39"/>
        <v>0</v>
      </c>
      <c r="N162" s="334">
        <f t="shared" si="39"/>
        <v>0</v>
      </c>
      <c r="O162" s="330"/>
      <c r="P162" s="330"/>
      <c r="Q162" s="330"/>
    </row>
    <row r="163" spans="1:17" s="330" customFormat="1">
      <c r="A163" s="349" t="s">
        <v>350</v>
      </c>
      <c r="B163" s="345" t="s">
        <v>186</v>
      </c>
      <c r="C163" s="345">
        <f t="shared" ref="C163:N163" si="40">COUNTIF(C130,4)+COUNTIF(C134,4)+COUNTIF(C138,4)+COUNTIF(C142,4)+COUNTIF(C146,4)+COUNTIF(C150,4)+COUNTIF(C154,4)+COUNTIF(C158,4)</f>
        <v>0</v>
      </c>
      <c r="D163" s="345">
        <f t="shared" si="40"/>
        <v>0</v>
      </c>
      <c r="E163" s="345">
        <f t="shared" si="40"/>
        <v>0</v>
      </c>
      <c r="F163" s="345">
        <f t="shared" si="40"/>
        <v>0</v>
      </c>
      <c r="G163" s="345">
        <f t="shared" si="40"/>
        <v>0</v>
      </c>
      <c r="H163" s="345">
        <f t="shared" si="40"/>
        <v>0</v>
      </c>
      <c r="I163" s="345">
        <f t="shared" si="40"/>
        <v>0</v>
      </c>
      <c r="J163" s="345">
        <f t="shared" si="40"/>
        <v>0</v>
      </c>
      <c r="K163" s="345">
        <f t="shared" si="40"/>
        <v>0</v>
      </c>
      <c r="L163" s="345">
        <f t="shared" si="40"/>
        <v>0</v>
      </c>
      <c r="M163" s="345">
        <f t="shared" si="40"/>
        <v>0</v>
      </c>
      <c r="N163" s="334">
        <f t="shared" si="40"/>
        <v>0</v>
      </c>
      <c r="O163" s="330"/>
      <c r="P163" s="330"/>
      <c r="Q163" s="330"/>
    </row>
    <row r="164" spans="1:17" s="330" customFormat="1">
      <c r="A164" s="350"/>
      <c r="B164" s="345" t="s">
        <v>351</v>
      </c>
      <c r="C164" s="345">
        <f t="shared" ref="C164:N164" si="41">C162-C163</f>
        <v>0</v>
      </c>
      <c r="D164" s="345">
        <f t="shared" si="41"/>
        <v>0</v>
      </c>
      <c r="E164" s="345">
        <f t="shared" si="41"/>
        <v>0</v>
      </c>
      <c r="F164" s="345">
        <f t="shared" si="41"/>
        <v>0</v>
      </c>
      <c r="G164" s="345">
        <f t="shared" si="41"/>
        <v>0</v>
      </c>
      <c r="H164" s="345">
        <f t="shared" si="41"/>
        <v>0</v>
      </c>
      <c r="I164" s="345">
        <f t="shared" si="41"/>
        <v>0</v>
      </c>
      <c r="J164" s="345">
        <f t="shared" si="41"/>
        <v>0</v>
      </c>
      <c r="K164" s="345">
        <f t="shared" si="41"/>
        <v>0</v>
      </c>
      <c r="L164" s="345">
        <f t="shared" si="41"/>
        <v>0</v>
      </c>
      <c r="M164" s="345">
        <f t="shared" si="41"/>
        <v>0</v>
      </c>
      <c r="N164" s="345">
        <f t="shared" si="41"/>
        <v>0</v>
      </c>
      <c r="O164" s="330"/>
      <c r="P164" s="330"/>
      <c r="Q164" s="330"/>
    </row>
    <row r="165" spans="1:17" s="330" customFormat="1">
      <c r="A165" s="351"/>
      <c r="B165" s="345" t="s">
        <v>352</v>
      </c>
      <c r="C165" s="345">
        <f t="shared" ref="C165:N165" si="42">COUNTIF(C127,2)+COUNTIF(C135,2)+COUNTIF(C143,2)+COUNTIF(C131,2)+COUNTIF(C139,2)+COUNTIF(C147,2)+COUNTIF(C151,2)+COUNTIF(C155,2)</f>
        <v>0</v>
      </c>
      <c r="D165" s="345">
        <f t="shared" si="42"/>
        <v>0</v>
      </c>
      <c r="E165" s="345">
        <f t="shared" si="42"/>
        <v>0</v>
      </c>
      <c r="F165" s="345">
        <f t="shared" si="42"/>
        <v>0</v>
      </c>
      <c r="G165" s="345">
        <f t="shared" si="42"/>
        <v>0</v>
      </c>
      <c r="H165" s="345">
        <f t="shared" si="42"/>
        <v>0</v>
      </c>
      <c r="I165" s="345">
        <f t="shared" si="42"/>
        <v>0</v>
      </c>
      <c r="J165" s="345">
        <f t="shared" si="42"/>
        <v>0</v>
      </c>
      <c r="K165" s="345">
        <f t="shared" si="42"/>
        <v>0</v>
      </c>
      <c r="L165" s="345">
        <f t="shared" si="42"/>
        <v>0</v>
      </c>
      <c r="M165" s="345">
        <f t="shared" si="42"/>
        <v>0</v>
      </c>
      <c r="N165" s="334">
        <f t="shared" si="42"/>
        <v>0</v>
      </c>
      <c r="O165" s="330"/>
      <c r="P165" s="330"/>
      <c r="Q165" s="330"/>
    </row>
    <row r="166" spans="1:17" s="330" customFormat="1">
      <c r="A166" s="345" t="s">
        <v>12</v>
      </c>
      <c r="B166" s="345" t="s">
        <v>271</v>
      </c>
      <c r="C166" s="345">
        <f t="shared" ref="C166:N167" si="43">IF(AC120=3,0,AC120)</f>
        <v>0</v>
      </c>
      <c r="D166" s="345">
        <f t="shared" si="43"/>
        <v>0</v>
      </c>
      <c r="E166" s="345">
        <f t="shared" si="43"/>
        <v>0</v>
      </c>
      <c r="F166" s="345">
        <f t="shared" si="43"/>
        <v>0</v>
      </c>
      <c r="G166" s="345">
        <f t="shared" si="43"/>
        <v>0</v>
      </c>
      <c r="H166" s="345">
        <f t="shared" si="43"/>
        <v>0</v>
      </c>
      <c r="I166" s="345">
        <f t="shared" si="43"/>
        <v>0</v>
      </c>
      <c r="J166" s="345">
        <f t="shared" si="43"/>
        <v>0</v>
      </c>
      <c r="K166" s="345">
        <f t="shared" si="43"/>
        <v>0</v>
      </c>
      <c r="L166" s="345">
        <f t="shared" si="43"/>
        <v>0</v>
      </c>
      <c r="M166" s="345">
        <f t="shared" si="43"/>
        <v>0</v>
      </c>
      <c r="N166" s="345">
        <f t="shared" si="43"/>
        <v>0</v>
      </c>
      <c r="O166" s="330"/>
      <c r="P166" s="330"/>
      <c r="Q166" s="330"/>
    </row>
    <row r="167" spans="1:17" s="330" customFormat="1">
      <c r="A167" s="345"/>
      <c r="B167" s="345" t="s">
        <v>272</v>
      </c>
      <c r="C167" s="345">
        <f t="shared" si="43"/>
        <v>0</v>
      </c>
      <c r="D167" s="345">
        <f t="shared" si="43"/>
        <v>0</v>
      </c>
      <c r="E167" s="345">
        <f t="shared" si="43"/>
        <v>0</v>
      </c>
      <c r="F167" s="345">
        <f t="shared" si="43"/>
        <v>0</v>
      </c>
      <c r="G167" s="345">
        <f t="shared" si="43"/>
        <v>0</v>
      </c>
      <c r="H167" s="345">
        <f t="shared" si="43"/>
        <v>0</v>
      </c>
      <c r="I167" s="345">
        <f t="shared" si="43"/>
        <v>0</v>
      </c>
      <c r="J167" s="345">
        <f t="shared" si="43"/>
        <v>0</v>
      </c>
      <c r="K167" s="345">
        <f t="shared" si="43"/>
        <v>0</v>
      </c>
      <c r="L167" s="345">
        <f t="shared" si="43"/>
        <v>0</v>
      </c>
      <c r="M167" s="345">
        <f t="shared" si="43"/>
        <v>0</v>
      </c>
      <c r="N167" s="345">
        <f t="shared" si="43"/>
        <v>0</v>
      </c>
      <c r="O167" s="330"/>
      <c r="P167" s="330"/>
      <c r="Q167" s="330"/>
    </row>
    <row r="168" spans="1:17" s="330" customFormat="1">
      <c r="A168" s="345"/>
      <c r="B168" s="345" t="s">
        <v>102</v>
      </c>
      <c r="C168" s="345">
        <f t="shared" ref="C168:N168" si="44">IF(C167=1,"旧国（１/４）",IF(C166=1,"旧国（１/２）",IF(C159&gt;0,"旧国（なし）",0)))</f>
        <v>0</v>
      </c>
      <c r="D168" s="345">
        <f t="shared" si="44"/>
        <v>0</v>
      </c>
      <c r="E168" s="345">
        <f t="shared" si="44"/>
        <v>0</v>
      </c>
      <c r="F168" s="345">
        <f t="shared" si="44"/>
        <v>0</v>
      </c>
      <c r="G168" s="345">
        <f t="shared" si="44"/>
        <v>0</v>
      </c>
      <c r="H168" s="345">
        <f t="shared" si="44"/>
        <v>0</v>
      </c>
      <c r="I168" s="345">
        <f t="shared" si="44"/>
        <v>0</v>
      </c>
      <c r="J168" s="345">
        <f t="shared" si="44"/>
        <v>0</v>
      </c>
      <c r="K168" s="345">
        <f t="shared" si="44"/>
        <v>0</v>
      </c>
      <c r="L168" s="345">
        <f t="shared" si="44"/>
        <v>0</v>
      </c>
      <c r="M168" s="345">
        <f t="shared" si="44"/>
        <v>0</v>
      </c>
      <c r="N168" s="345">
        <f t="shared" si="44"/>
        <v>0</v>
      </c>
      <c r="O168" s="330"/>
      <c r="P168" s="330"/>
      <c r="Q168" s="330"/>
    </row>
    <row r="169" spans="1:17" s="330" customFormat="1">
      <c r="A169" s="330"/>
      <c r="B169" s="330"/>
      <c r="C169" s="330"/>
      <c r="D169" s="330"/>
      <c r="E169" s="330"/>
      <c r="F169" s="330"/>
      <c r="G169" s="330"/>
      <c r="H169" s="330"/>
      <c r="I169" s="330"/>
      <c r="J169" s="330"/>
      <c r="K169" s="330"/>
      <c r="L169" s="330"/>
      <c r="M169" s="330"/>
      <c r="N169" s="330"/>
      <c r="O169" s="330"/>
      <c r="P169" s="330"/>
      <c r="Q169" s="330"/>
    </row>
    <row r="170" spans="1:17" s="330" customFormat="1">
      <c r="A170" s="330"/>
      <c r="B170" s="330"/>
      <c r="C170" s="330"/>
      <c r="D170" s="330"/>
      <c r="E170" s="330"/>
      <c r="F170" s="330"/>
      <c r="G170" s="330"/>
      <c r="H170" s="330"/>
      <c r="I170" s="330"/>
      <c r="J170" s="330"/>
      <c r="K170" s="330"/>
      <c r="L170" s="330"/>
      <c r="M170" s="330"/>
      <c r="N170" s="333"/>
      <c r="O170" s="330"/>
      <c r="P170" s="330"/>
      <c r="Q170" s="330"/>
    </row>
    <row r="171" spans="1:17" s="330" customFormat="1">
      <c r="A171" s="344" t="s">
        <v>174</v>
      </c>
      <c r="B171" s="330"/>
      <c r="C171" s="330"/>
      <c r="D171" s="330"/>
      <c r="E171" s="330"/>
      <c r="F171" s="330"/>
      <c r="G171" s="330"/>
      <c r="H171" s="330"/>
      <c r="I171" s="330"/>
      <c r="J171" s="330"/>
      <c r="K171" s="330"/>
      <c r="L171" s="330"/>
      <c r="M171" s="330"/>
      <c r="N171" s="333"/>
      <c r="O171" s="330"/>
      <c r="P171" s="330"/>
      <c r="Q171" s="330"/>
    </row>
    <row r="172" spans="1:17" s="330" customFormat="1">
      <c r="A172" s="330"/>
      <c r="B172" s="330"/>
      <c r="C172" s="330"/>
      <c r="D172" s="330"/>
      <c r="E172" s="330"/>
      <c r="F172" s="330"/>
      <c r="G172" s="330"/>
      <c r="H172" s="330"/>
      <c r="I172" s="330"/>
      <c r="J172" s="330"/>
      <c r="K172" s="330"/>
      <c r="L172" s="330"/>
      <c r="M172" s="330"/>
      <c r="N172" s="333"/>
      <c r="O172" s="330"/>
      <c r="P172" s="330"/>
      <c r="Q172" s="330"/>
    </row>
    <row r="173" spans="1:17" s="330" customFormat="1">
      <c r="A173" s="345"/>
      <c r="B173" s="345" t="s">
        <v>123</v>
      </c>
      <c r="C173" s="345" t="s">
        <v>51</v>
      </c>
      <c r="D173" s="345" t="s">
        <v>31</v>
      </c>
      <c r="E173" s="345" t="s">
        <v>52</v>
      </c>
      <c r="F173" s="345" t="s">
        <v>40</v>
      </c>
      <c r="G173" s="345" t="s">
        <v>19</v>
      </c>
      <c r="H173" s="345" t="s">
        <v>41</v>
      </c>
      <c r="I173" s="345" t="s">
        <v>42</v>
      </c>
      <c r="J173" s="345" t="s">
        <v>44</v>
      </c>
      <c r="K173" s="345" t="s">
        <v>48</v>
      </c>
      <c r="L173" s="345" t="s">
        <v>35</v>
      </c>
      <c r="M173" s="345" t="s">
        <v>47</v>
      </c>
      <c r="N173" s="345" t="s">
        <v>50</v>
      </c>
      <c r="O173" s="345" t="s">
        <v>77</v>
      </c>
      <c r="P173" s="345" t="s">
        <v>78</v>
      </c>
      <c r="Q173" s="345" t="s">
        <v>79</v>
      </c>
    </row>
    <row r="174" spans="1:17" s="330" customFormat="1">
      <c r="A174" s="346" t="s">
        <v>81</v>
      </c>
      <c r="B174" s="345" t="s">
        <v>33</v>
      </c>
      <c r="C174" s="390">
        <f>ROUNDDOWN(MAX(B104-C26,0),-3)</f>
        <v>0</v>
      </c>
      <c r="D174" s="401">
        <f>C174*$C$33</f>
        <v>0</v>
      </c>
      <c r="E174" s="401">
        <f t="shared" ref="E174:E205" si="45">D174/12</f>
        <v>0</v>
      </c>
      <c r="F174" s="345">
        <f t="shared" ref="F174:Q174" si="46">IF(C127=0,0,$E$174*1)</f>
        <v>0</v>
      </c>
      <c r="G174" s="345">
        <f t="shared" si="46"/>
        <v>0</v>
      </c>
      <c r="H174" s="345">
        <f t="shared" si="46"/>
        <v>0</v>
      </c>
      <c r="I174" s="345">
        <f t="shared" si="46"/>
        <v>0</v>
      </c>
      <c r="J174" s="345">
        <f t="shared" si="46"/>
        <v>0</v>
      </c>
      <c r="K174" s="345">
        <f t="shared" si="46"/>
        <v>0</v>
      </c>
      <c r="L174" s="345">
        <f t="shared" si="46"/>
        <v>0</v>
      </c>
      <c r="M174" s="345">
        <f t="shared" si="46"/>
        <v>0</v>
      </c>
      <c r="N174" s="345">
        <f t="shared" si="46"/>
        <v>0</v>
      </c>
      <c r="O174" s="345">
        <f t="shared" si="46"/>
        <v>0</v>
      </c>
      <c r="P174" s="345">
        <f t="shared" si="46"/>
        <v>0</v>
      </c>
      <c r="Q174" s="345">
        <f t="shared" si="46"/>
        <v>0</v>
      </c>
    </row>
    <row r="175" spans="1:17" s="330" customFormat="1">
      <c r="A175" s="347"/>
      <c r="B175" s="345" t="s">
        <v>57</v>
      </c>
      <c r="C175" s="390">
        <f>ROUNDDOWN(MAX(B104-C26,0),-3)</f>
        <v>0</v>
      </c>
      <c r="D175" s="401">
        <f>C175*$D$33</f>
        <v>0</v>
      </c>
      <c r="E175" s="401">
        <f t="shared" si="45"/>
        <v>0</v>
      </c>
      <c r="F175" s="345">
        <f t="shared" ref="F175:Q175" si="47">IF(C128=0,0,$E$175*1)</f>
        <v>0</v>
      </c>
      <c r="G175" s="345">
        <f t="shared" si="47"/>
        <v>0</v>
      </c>
      <c r="H175" s="345">
        <f t="shared" si="47"/>
        <v>0</v>
      </c>
      <c r="I175" s="345">
        <f t="shared" si="47"/>
        <v>0</v>
      </c>
      <c r="J175" s="345">
        <f t="shared" si="47"/>
        <v>0</v>
      </c>
      <c r="K175" s="345">
        <f t="shared" si="47"/>
        <v>0</v>
      </c>
      <c r="L175" s="345">
        <f t="shared" si="47"/>
        <v>0</v>
      </c>
      <c r="M175" s="345">
        <f t="shared" si="47"/>
        <v>0</v>
      </c>
      <c r="N175" s="345">
        <f t="shared" si="47"/>
        <v>0</v>
      </c>
      <c r="O175" s="345">
        <f t="shared" si="47"/>
        <v>0</v>
      </c>
      <c r="P175" s="345">
        <f t="shared" si="47"/>
        <v>0</v>
      </c>
      <c r="Q175" s="345">
        <f t="shared" si="47"/>
        <v>0</v>
      </c>
    </row>
    <row r="176" spans="1:17" s="330" customFormat="1">
      <c r="A176" s="347"/>
      <c r="B176" s="345" t="s">
        <v>28</v>
      </c>
      <c r="C176" s="390">
        <f>ROUNDDOWN(MAX(B104-C26,0),-3)</f>
        <v>0</v>
      </c>
      <c r="D176" s="401">
        <f>C176*$E$33</f>
        <v>0</v>
      </c>
      <c r="E176" s="401">
        <f t="shared" si="45"/>
        <v>0</v>
      </c>
      <c r="F176" s="345">
        <f t="shared" ref="F176:Q176" si="48">IF(C129=0,0,$E$176*1)</f>
        <v>0</v>
      </c>
      <c r="G176" s="345">
        <f t="shared" si="48"/>
        <v>0</v>
      </c>
      <c r="H176" s="345">
        <f t="shared" si="48"/>
        <v>0</v>
      </c>
      <c r="I176" s="345">
        <f t="shared" si="48"/>
        <v>0</v>
      </c>
      <c r="J176" s="345">
        <f t="shared" si="48"/>
        <v>0</v>
      </c>
      <c r="K176" s="345">
        <f t="shared" si="48"/>
        <v>0</v>
      </c>
      <c r="L176" s="345">
        <f t="shared" si="48"/>
        <v>0</v>
      </c>
      <c r="M176" s="345">
        <f t="shared" si="48"/>
        <v>0</v>
      </c>
      <c r="N176" s="345">
        <f t="shared" si="48"/>
        <v>0</v>
      </c>
      <c r="O176" s="345">
        <f t="shared" si="48"/>
        <v>0</v>
      </c>
      <c r="P176" s="345">
        <f t="shared" si="48"/>
        <v>0</v>
      </c>
      <c r="Q176" s="345">
        <f t="shared" si="48"/>
        <v>0</v>
      </c>
    </row>
    <row r="177" spans="1:17" s="330" customFormat="1">
      <c r="A177" s="348"/>
      <c r="B177" s="345" t="s">
        <v>3</v>
      </c>
      <c r="C177" s="390">
        <f>ROUNDDOWN(MAX(B104-C26,0),-3)</f>
        <v>0</v>
      </c>
      <c r="D177" s="401">
        <f>C177*$F$33</f>
        <v>0</v>
      </c>
      <c r="E177" s="401">
        <f t="shared" si="45"/>
        <v>0</v>
      </c>
      <c r="F177" s="345">
        <f t="shared" ref="F177:Q177" si="49">IF(C130=0,0,$E$177*1)</f>
        <v>0</v>
      </c>
      <c r="G177" s="345">
        <f t="shared" si="49"/>
        <v>0</v>
      </c>
      <c r="H177" s="345">
        <f t="shared" si="49"/>
        <v>0</v>
      </c>
      <c r="I177" s="345">
        <f t="shared" si="49"/>
        <v>0</v>
      </c>
      <c r="J177" s="345">
        <f t="shared" si="49"/>
        <v>0</v>
      </c>
      <c r="K177" s="345">
        <f t="shared" si="49"/>
        <v>0</v>
      </c>
      <c r="L177" s="345">
        <f t="shared" si="49"/>
        <v>0</v>
      </c>
      <c r="M177" s="345">
        <f t="shared" si="49"/>
        <v>0</v>
      </c>
      <c r="N177" s="345">
        <f t="shared" si="49"/>
        <v>0</v>
      </c>
      <c r="O177" s="345">
        <f t="shared" si="49"/>
        <v>0</v>
      </c>
      <c r="P177" s="345">
        <f t="shared" si="49"/>
        <v>0</v>
      </c>
      <c r="Q177" s="345">
        <f t="shared" si="49"/>
        <v>0</v>
      </c>
    </row>
    <row r="178" spans="1:17" s="330" customFormat="1">
      <c r="A178" s="346" t="s">
        <v>82</v>
      </c>
      <c r="B178" s="345" t="s">
        <v>33</v>
      </c>
      <c r="C178" s="390">
        <f>ROUNDDOWN(MAX(B106-C26,0),-3)</f>
        <v>0</v>
      </c>
      <c r="D178" s="401">
        <f>C178*$C$33</f>
        <v>0</v>
      </c>
      <c r="E178" s="401">
        <f t="shared" si="45"/>
        <v>0</v>
      </c>
      <c r="F178" s="345">
        <f t="shared" ref="F178:Q178" si="50">IF(C131=0,0,$E$178*1)</f>
        <v>0</v>
      </c>
      <c r="G178" s="345">
        <f t="shared" si="50"/>
        <v>0</v>
      </c>
      <c r="H178" s="345">
        <f t="shared" si="50"/>
        <v>0</v>
      </c>
      <c r="I178" s="345">
        <f t="shared" si="50"/>
        <v>0</v>
      </c>
      <c r="J178" s="345">
        <f t="shared" si="50"/>
        <v>0</v>
      </c>
      <c r="K178" s="345">
        <f t="shared" si="50"/>
        <v>0</v>
      </c>
      <c r="L178" s="345">
        <f t="shared" si="50"/>
        <v>0</v>
      </c>
      <c r="M178" s="345">
        <f t="shared" si="50"/>
        <v>0</v>
      </c>
      <c r="N178" s="345">
        <f t="shared" si="50"/>
        <v>0</v>
      </c>
      <c r="O178" s="345">
        <f t="shared" si="50"/>
        <v>0</v>
      </c>
      <c r="P178" s="345">
        <f t="shared" si="50"/>
        <v>0</v>
      </c>
      <c r="Q178" s="345">
        <f t="shared" si="50"/>
        <v>0</v>
      </c>
    </row>
    <row r="179" spans="1:17" s="330" customFormat="1">
      <c r="A179" s="347"/>
      <c r="B179" s="345" t="s">
        <v>57</v>
      </c>
      <c r="C179" s="390">
        <f>ROUNDDOWN(MAX(B106-C26,0),-3)</f>
        <v>0</v>
      </c>
      <c r="D179" s="401">
        <f>C179*$D$33</f>
        <v>0</v>
      </c>
      <c r="E179" s="401">
        <f t="shared" si="45"/>
        <v>0</v>
      </c>
      <c r="F179" s="345">
        <f t="shared" ref="F179:Q179" si="51">IF(C132=0,0,$E$179*1)</f>
        <v>0</v>
      </c>
      <c r="G179" s="345">
        <f t="shared" si="51"/>
        <v>0</v>
      </c>
      <c r="H179" s="345">
        <f t="shared" si="51"/>
        <v>0</v>
      </c>
      <c r="I179" s="345">
        <f t="shared" si="51"/>
        <v>0</v>
      </c>
      <c r="J179" s="345">
        <f t="shared" si="51"/>
        <v>0</v>
      </c>
      <c r="K179" s="345">
        <f t="shared" si="51"/>
        <v>0</v>
      </c>
      <c r="L179" s="345">
        <f t="shared" si="51"/>
        <v>0</v>
      </c>
      <c r="M179" s="345">
        <f t="shared" si="51"/>
        <v>0</v>
      </c>
      <c r="N179" s="345">
        <f t="shared" si="51"/>
        <v>0</v>
      </c>
      <c r="O179" s="345">
        <f t="shared" si="51"/>
        <v>0</v>
      </c>
      <c r="P179" s="345">
        <f t="shared" si="51"/>
        <v>0</v>
      </c>
      <c r="Q179" s="345">
        <f t="shared" si="51"/>
        <v>0</v>
      </c>
    </row>
    <row r="180" spans="1:17" s="330" customFormat="1">
      <c r="A180" s="347"/>
      <c r="B180" s="345" t="s">
        <v>28</v>
      </c>
      <c r="C180" s="390">
        <f>ROUNDDOWN(MAX(B106-C26,0),-3)</f>
        <v>0</v>
      </c>
      <c r="D180" s="401">
        <f>C180*$E$33</f>
        <v>0</v>
      </c>
      <c r="E180" s="401">
        <f t="shared" si="45"/>
        <v>0</v>
      </c>
      <c r="F180" s="345">
        <f t="shared" ref="F180:Q180" si="52">IF(C133=0,0,$E$180*1)</f>
        <v>0</v>
      </c>
      <c r="G180" s="345">
        <f t="shared" si="52"/>
        <v>0</v>
      </c>
      <c r="H180" s="345">
        <f t="shared" si="52"/>
        <v>0</v>
      </c>
      <c r="I180" s="345">
        <f t="shared" si="52"/>
        <v>0</v>
      </c>
      <c r="J180" s="345">
        <f t="shared" si="52"/>
        <v>0</v>
      </c>
      <c r="K180" s="345">
        <f t="shared" si="52"/>
        <v>0</v>
      </c>
      <c r="L180" s="345">
        <f t="shared" si="52"/>
        <v>0</v>
      </c>
      <c r="M180" s="345">
        <f t="shared" si="52"/>
        <v>0</v>
      </c>
      <c r="N180" s="345">
        <f t="shared" si="52"/>
        <v>0</v>
      </c>
      <c r="O180" s="345">
        <f t="shared" si="52"/>
        <v>0</v>
      </c>
      <c r="P180" s="345">
        <f t="shared" si="52"/>
        <v>0</v>
      </c>
      <c r="Q180" s="345">
        <f t="shared" si="52"/>
        <v>0</v>
      </c>
    </row>
    <row r="181" spans="1:17" s="330" customFormat="1">
      <c r="A181" s="348"/>
      <c r="B181" s="345" t="s">
        <v>3</v>
      </c>
      <c r="C181" s="390">
        <f>ROUNDDOWN(MAX(B106-C26,0),-3)</f>
        <v>0</v>
      </c>
      <c r="D181" s="401">
        <f>C181*$F$33</f>
        <v>0</v>
      </c>
      <c r="E181" s="401">
        <f t="shared" si="45"/>
        <v>0</v>
      </c>
      <c r="F181" s="345">
        <f t="shared" ref="F181:Q181" si="53">IF(C134=0,0,$E$181*1)</f>
        <v>0</v>
      </c>
      <c r="G181" s="345">
        <f t="shared" si="53"/>
        <v>0</v>
      </c>
      <c r="H181" s="345">
        <f t="shared" si="53"/>
        <v>0</v>
      </c>
      <c r="I181" s="345">
        <f t="shared" si="53"/>
        <v>0</v>
      </c>
      <c r="J181" s="345">
        <f t="shared" si="53"/>
        <v>0</v>
      </c>
      <c r="K181" s="345">
        <f t="shared" si="53"/>
        <v>0</v>
      </c>
      <c r="L181" s="345">
        <f t="shared" si="53"/>
        <v>0</v>
      </c>
      <c r="M181" s="345">
        <f t="shared" si="53"/>
        <v>0</v>
      </c>
      <c r="N181" s="345">
        <f t="shared" si="53"/>
        <v>0</v>
      </c>
      <c r="O181" s="345">
        <f t="shared" si="53"/>
        <v>0</v>
      </c>
      <c r="P181" s="345">
        <f t="shared" si="53"/>
        <v>0</v>
      </c>
      <c r="Q181" s="345">
        <f t="shared" si="53"/>
        <v>0</v>
      </c>
    </row>
    <row r="182" spans="1:17" s="330" customFormat="1">
      <c r="A182" s="346" t="s">
        <v>20</v>
      </c>
      <c r="B182" s="345" t="s">
        <v>33</v>
      </c>
      <c r="C182" s="390">
        <f>ROUNDDOWN(MAX(B108-C26,0),-3)</f>
        <v>0</v>
      </c>
      <c r="D182" s="401">
        <f>C182*$C$33</f>
        <v>0</v>
      </c>
      <c r="E182" s="401">
        <f t="shared" si="45"/>
        <v>0</v>
      </c>
      <c r="F182" s="345">
        <f t="shared" ref="F182:Q182" si="54">IF(C135=0,0,$E$182*1)</f>
        <v>0</v>
      </c>
      <c r="G182" s="345">
        <f t="shared" si="54"/>
        <v>0</v>
      </c>
      <c r="H182" s="345">
        <f t="shared" si="54"/>
        <v>0</v>
      </c>
      <c r="I182" s="345">
        <f t="shared" si="54"/>
        <v>0</v>
      </c>
      <c r="J182" s="345">
        <f t="shared" si="54"/>
        <v>0</v>
      </c>
      <c r="K182" s="345">
        <f t="shared" si="54"/>
        <v>0</v>
      </c>
      <c r="L182" s="345">
        <f t="shared" si="54"/>
        <v>0</v>
      </c>
      <c r="M182" s="345">
        <f t="shared" si="54"/>
        <v>0</v>
      </c>
      <c r="N182" s="345">
        <f t="shared" si="54"/>
        <v>0</v>
      </c>
      <c r="O182" s="345">
        <f t="shared" si="54"/>
        <v>0</v>
      </c>
      <c r="P182" s="345">
        <f t="shared" si="54"/>
        <v>0</v>
      </c>
      <c r="Q182" s="345">
        <f t="shared" si="54"/>
        <v>0</v>
      </c>
    </row>
    <row r="183" spans="1:17" s="330" customFormat="1">
      <c r="A183" s="347"/>
      <c r="B183" s="345" t="s">
        <v>57</v>
      </c>
      <c r="C183" s="390">
        <f>ROUNDDOWN(MAX(B108-C26,0),-3)</f>
        <v>0</v>
      </c>
      <c r="D183" s="401">
        <f>C183*$D$33</f>
        <v>0</v>
      </c>
      <c r="E183" s="401">
        <f t="shared" si="45"/>
        <v>0</v>
      </c>
      <c r="F183" s="345">
        <f t="shared" ref="F183:Q183" si="55">IF(C136=0,0,$E$183*1)</f>
        <v>0</v>
      </c>
      <c r="G183" s="345">
        <f t="shared" si="55"/>
        <v>0</v>
      </c>
      <c r="H183" s="345">
        <f t="shared" si="55"/>
        <v>0</v>
      </c>
      <c r="I183" s="345">
        <f t="shared" si="55"/>
        <v>0</v>
      </c>
      <c r="J183" s="345">
        <f t="shared" si="55"/>
        <v>0</v>
      </c>
      <c r="K183" s="345">
        <f t="shared" si="55"/>
        <v>0</v>
      </c>
      <c r="L183" s="345">
        <f t="shared" si="55"/>
        <v>0</v>
      </c>
      <c r="M183" s="345">
        <f t="shared" si="55"/>
        <v>0</v>
      </c>
      <c r="N183" s="345">
        <f t="shared" si="55"/>
        <v>0</v>
      </c>
      <c r="O183" s="345">
        <f t="shared" si="55"/>
        <v>0</v>
      </c>
      <c r="P183" s="345">
        <f t="shared" si="55"/>
        <v>0</v>
      </c>
      <c r="Q183" s="345">
        <f t="shared" si="55"/>
        <v>0</v>
      </c>
    </row>
    <row r="184" spans="1:17" s="330" customFormat="1">
      <c r="A184" s="347"/>
      <c r="B184" s="345" t="s">
        <v>28</v>
      </c>
      <c r="C184" s="390">
        <f>ROUNDDOWN(MAX(B108-C26,0),-3)</f>
        <v>0</v>
      </c>
      <c r="D184" s="401">
        <f>C184*$E$33</f>
        <v>0</v>
      </c>
      <c r="E184" s="401">
        <f t="shared" si="45"/>
        <v>0</v>
      </c>
      <c r="F184" s="345">
        <f t="shared" ref="F184:Q184" si="56">IF(C137=0,0,$E$184*1)</f>
        <v>0</v>
      </c>
      <c r="G184" s="345">
        <f t="shared" si="56"/>
        <v>0</v>
      </c>
      <c r="H184" s="345">
        <f t="shared" si="56"/>
        <v>0</v>
      </c>
      <c r="I184" s="345">
        <f t="shared" si="56"/>
        <v>0</v>
      </c>
      <c r="J184" s="345">
        <f t="shared" si="56"/>
        <v>0</v>
      </c>
      <c r="K184" s="345">
        <f t="shared" si="56"/>
        <v>0</v>
      </c>
      <c r="L184" s="345">
        <f t="shared" si="56"/>
        <v>0</v>
      </c>
      <c r="M184" s="345">
        <f t="shared" si="56"/>
        <v>0</v>
      </c>
      <c r="N184" s="345">
        <f t="shared" si="56"/>
        <v>0</v>
      </c>
      <c r="O184" s="345">
        <f t="shared" si="56"/>
        <v>0</v>
      </c>
      <c r="P184" s="345">
        <f t="shared" si="56"/>
        <v>0</v>
      </c>
      <c r="Q184" s="345">
        <f t="shared" si="56"/>
        <v>0</v>
      </c>
    </row>
    <row r="185" spans="1:17" s="330" customFormat="1">
      <c r="A185" s="348"/>
      <c r="B185" s="345" t="s">
        <v>3</v>
      </c>
      <c r="C185" s="390">
        <f>ROUNDDOWN(MAX(B108-C26,0),-3)</f>
        <v>0</v>
      </c>
      <c r="D185" s="401">
        <f>C185*$F$33</f>
        <v>0</v>
      </c>
      <c r="E185" s="401">
        <f t="shared" si="45"/>
        <v>0</v>
      </c>
      <c r="F185" s="345">
        <f t="shared" ref="F185:Q185" si="57">IF(C138=0,0,$E$185*1)</f>
        <v>0</v>
      </c>
      <c r="G185" s="345">
        <f t="shared" si="57"/>
        <v>0</v>
      </c>
      <c r="H185" s="345">
        <f t="shared" si="57"/>
        <v>0</v>
      </c>
      <c r="I185" s="345">
        <f t="shared" si="57"/>
        <v>0</v>
      </c>
      <c r="J185" s="345">
        <f t="shared" si="57"/>
        <v>0</v>
      </c>
      <c r="K185" s="345">
        <f t="shared" si="57"/>
        <v>0</v>
      </c>
      <c r="L185" s="345">
        <f t="shared" si="57"/>
        <v>0</v>
      </c>
      <c r="M185" s="345">
        <f t="shared" si="57"/>
        <v>0</v>
      </c>
      <c r="N185" s="345">
        <f t="shared" si="57"/>
        <v>0</v>
      </c>
      <c r="O185" s="345">
        <f t="shared" si="57"/>
        <v>0</v>
      </c>
      <c r="P185" s="345">
        <f t="shared" si="57"/>
        <v>0</v>
      </c>
      <c r="Q185" s="345">
        <f t="shared" si="57"/>
        <v>0</v>
      </c>
    </row>
    <row r="186" spans="1:17" s="330" customFormat="1">
      <c r="A186" s="346" t="s">
        <v>84</v>
      </c>
      <c r="B186" s="345" t="s">
        <v>33</v>
      </c>
      <c r="C186" s="390">
        <f>ROUNDDOWN(MAX(B110-C26,0),-3)</f>
        <v>0</v>
      </c>
      <c r="D186" s="401">
        <f>C186*$C$33</f>
        <v>0</v>
      </c>
      <c r="E186" s="401">
        <f t="shared" si="45"/>
        <v>0</v>
      </c>
      <c r="F186" s="345">
        <f t="shared" ref="F186:Q186" si="58">IF(C139=0,0,$E$186*1)</f>
        <v>0</v>
      </c>
      <c r="G186" s="345">
        <f t="shared" si="58"/>
        <v>0</v>
      </c>
      <c r="H186" s="345">
        <f t="shared" si="58"/>
        <v>0</v>
      </c>
      <c r="I186" s="345">
        <f t="shared" si="58"/>
        <v>0</v>
      </c>
      <c r="J186" s="345">
        <f t="shared" si="58"/>
        <v>0</v>
      </c>
      <c r="K186" s="345">
        <f t="shared" si="58"/>
        <v>0</v>
      </c>
      <c r="L186" s="345">
        <f t="shared" si="58"/>
        <v>0</v>
      </c>
      <c r="M186" s="345">
        <f t="shared" si="58"/>
        <v>0</v>
      </c>
      <c r="N186" s="345">
        <f t="shared" si="58"/>
        <v>0</v>
      </c>
      <c r="O186" s="345">
        <f t="shared" si="58"/>
        <v>0</v>
      </c>
      <c r="P186" s="345">
        <f t="shared" si="58"/>
        <v>0</v>
      </c>
      <c r="Q186" s="345">
        <f t="shared" si="58"/>
        <v>0</v>
      </c>
    </row>
    <row r="187" spans="1:17" s="330" customFormat="1">
      <c r="A187" s="347"/>
      <c r="B187" s="345" t="s">
        <v>57</v>
      </c>
      <c r="C187" s="390">
        <f>ROUNDDOWN(MAX(B110-C26,0),-3)</f>
        <v>0</v>
      </c>
      <c r="D187" s="401">
        <f>C187*$D$33</f>
        <v>0</v>
      </c>
      <c r="E187" s="401">
        <f t="shared" si="45"/>
        <v>0</v>
      </c>
      <c r="F187" s="345">
        <f t="shared" ref="F187:Q187" si="59">IF(C140=0,0,$E$187*1)</f>
        <v>0</v>
      </c>
      <c r="G187" s="345">
        <f t="shared" si="59"/>
        <v>0</v>
      </c>
      <c r="H187" s="345">
        <f t="shared" si="59"/>
        <v>0</v>
      </c>
      <c r="I187" s="345">
        <f t="shared" si="59"/>
        <v>0</v>
      </c>
      <c r="J187" s="345">
        <f t="shared" si="59"/>
        <v>0</v>
      </c>
      <c r="K187" s="345">
        <f t="shared" si="59"/>
        <v>0</v>
      </c>
      <c r="L187" s="345">
        <f t="shared" si="59"/>
        <v>0</v>
      </c>
      <c r="M187" s="345">
        <f t="shared" si="59"/>
        <v>0</v>
      </c>
      <c r="N187" s="345">
        <f t="shared" si="59"/>
        <v>0</v>
      </c>
      <c r="O187" s="345">
        <f t="shared" si="59"/>
        <v>0</v>
      </c>
      <c r="P187" s="345">
        <f t="shared" si="59"/>
        <v>0</v>
      </c>
      <c r="Q187" s="345">
        <f t="shared" si="59"/>
        <v>0</v>
      </c>
    </row>
    <row r="188" spans="1:17" s="330" customFormat="1">
      <c r="A188" s="347"/>
      <c r="B188" s="345" t="s">
        <v>28</v>
      </c>
      <c r="C188" s="390">
        <f>ROUNDDOWN(MAX(B110-C26,0),-3)</f>
        <v>0</v>
      </c>
      <c r="D188" s="401">
        <f>C188*$E$33</f>
        <v>0</v>
      </c>
      <c r="E188" s="401">
        <f t="shared" si="45"/>
        <v>0</v>
      </c>
      <c r="F188" s="345">
        <f t="shared" ref="F188:Q188" si="60">IF(C141=0,0,$E$188*1)</f>
        <v>0</v>
      </c>
      <c r="G188" s="345">
        <f t="shared" si="60"/>
        <v>0</v>
      </c>
      <c r="H188" s="345">
        <f t="shared" si="60"/>
        <v>0</v>
      </c>
      <c r="I188" s="345">
        <f t="shared" si="60"/>
        <v>0</v>
      </c>
      <c r="J188" s="345">
        <f t="shared" si="60"/>
        <v>0</v>
      </c>
      <c r="K188" s="345">
        <f t="shared" si="60"/>
        <v>0</v>
      </c>
      <c r="L188" s="345">
        <f t="shared" si="60"/>
        <v>0</v>
      </c>
      <c r="M188" s="345">
        <f t="shared" si="60"/>
        <v>0</v>
      </c>
      <c r="N188" s="345">
        <f t="shared" si="60"/>
        <v>0</v>
      </c>
      <c r="O188" s="345">
        <f t="shared" si="60"/>
        <v>0</v>
      </c>
      <c r="P188" s="345">
        <f t="shared" si="60"/>
        <v>0</v>
      </c>
      <c r="Q188" s="345">
        <f t="shared" si="60"/>
        <v>0</v>
      </c>
    </row>
    <row r="189" spans="1:17" s="330" customFormat="1">
      <c r="A189" s="348"/>
      <c r="B189" s="345" t="s">
        <v>3</v>
      </c>
      <c r="C189" s="390">
        <f>ROUNDDOWN(MAX(B110-C26,0),-3)</f>
        <v>0</v>
      </c>
      <c r="D189" s="401">
        <f>C189*$F$33</f>
        <v>0</v>
      </c>
      <c r="E189" s="401">
        <f t="shared" si="45"/>
        <v>0</v>
      </c>
      <c r="F189" s="345">
        <f t="shared" ref="F189:Q189" si="61">IF(C142=0,0,$E$189*1)</f>
        <v>0</v>
      </c>
      <c r="G189" s="345">
        <f t="shared" si="61"/>
        <v>0</v>
      </c>
      <c r="H189" s="345">
        <f t="shared" si="61"/>
        <v>0</v>
      </c>
      <c r="I189" s="345">
        <f t="shared" si="61"/>
        <v>0</v>
      </c>
      <c r="J189" s="345">
        <f t="shared" si="61"/>
        <v>0</v>
      </c>
      <c r="K189" s="345">
        <f t="shared" si="61"/>
        <v>0</v>
      </c>
      <c r="L189" s="345">
        <f t="shared" si="61"/>
        <v>0</v>
      </c>
      <c r="M189" s="345">
        <f t="shared" si="61"/>
        <v>0</v>
      </c>
      <c r="N189" s="345">
        <f t="shared" si="61"/>
        <v>0</v>
      </c>
      <c r="O189" s="345">
        <f t="shared" si="61"/>
        <v>0</v>
      </c>
      <c r="P189" s="345">
        <f t="shared" si="61"/>
        <v>0</v>
      </c>
      <c r="Q189" s="345">
        <f t="shared" si="61"/>
        <v>0</v>
      </c>
    </row>
    <row r="190" spans="1:17" s="330" customFormat="1">
      <c r="A190" s="346" t="s">
        <v>273</v>
      </c>
      <c r="B190" s="345" t="s">
        <v>33</v>
      </c>
      <c r="C190" s="390">
        <f>ROUNDDOWN(MAX(B112-C26,0),-3)</f>
        <v>0</v>
      </c>
      <c r="D190" s="401">
        <f>C190*$C$33</f>
        <v>0</v>
      </c>
      <c r="E190" s="401">
        <f t="shared" si="45"/>
        <v>0</v>
      </c>
      <c r="F190" s="345">
        <f t="shared" ref="F190:Q190" si="62">IF(C143=0,0,$E$190*1)</f>
        <v>0</v>
      </c>
      <c r="G190" s="345">
        <f t="shared" si="62"/>
        <v>0</v>
      </c>
      <c r="H190" s="345">
        <f t="shared" si="62"/>
        <v>0</v>
      </c>
      <c r="I190" s="345">
        <f t="shared" si="62"/>
        <v>0</v>
      </c>
      <c r="J190" s="345">
        <f t="shared" si="62"/>
        <v>0</v>
      </c>
      <c r="K190" s="345">
        <f t="shared" si="62"/>
        <v>0</v>
      </c>
      <c r="L190" s="345">
        <f t="shared" si="62"/>
        <v>0</v>
      </c>
      <c r="M190" s="345">
        <f t="shared" si="62"/>
        <v>0</v>
      </c>
      <c r="N190" s="345">
        <f t="shared" si="62"/>
        <v>0</v>
      </c>
      <c r="O190" s="345">
        <f t="shared" si="62"/>
        <v>0</v>
      </c>
      <c r="P190" s="345">
        <f t="shared" si="62"/>
        <v>0</v>
      </c>
      <c r="Q190" s="345">
        <f t="shared" si="62"/>
        <v>0</v>
      </c>
    </row>
    <row r="191" spans="1:17" s="330" customFormat="1">
      <c r="A191" s="347"/>
      <c r="B191" s="345" t="s">
        <v>57</v>
      </c>
      <c r="C191" s="390">
        <f>ROUNDDOWN(MAX(B112-C26,0),-3)</f>
        <v>0</v>
      </c>
      <c r="D191" s="401">
        <f>C191*$D$33</f>
        <v>0</v>
      </c>
      <c r="E191" s="401">
        <f t="shared" si="45"/>
        <v>0</v>
      </c>
      <c r="F191" s="345">
        <f t="shared" ref="F191:Q191" si="63">IF(C144=0,0,$E$191*1)</f>
        <v>0</v>
      </c>
      <c r="G191" s="345">
        <f t="shared" si="63"/>
        <v>0</v>
      </c>
      <c r="H191" s="345">
        <f t="shared" si="63"/>
        <v>0</v>
      </c>
      <c r="I191" s="345">
        <f t="shared" si="63"/>
        <v>0</v>
      </c>
      <c r="J191" s="345">
        <f t="shared" si="63"/>
        <v>0</v>
      </c>
      <c r="K191" s="345">
        <f t="shared" si="63"/>
        <v>0</v>
      </c>
      <c r="L191" s="345">
        <f t="shared" si="63"/>
        <v>0</v>
      </c>
      <c r="M191" s="345">
        <f t="shared" si="63"/>
        <v>0</v>
      </c>
      <c r="N191" s="345">
        <f t="shared" si="63"/>
        <v>0</v>
      </c>
      <c r="O191" s="345">
        <f t="shared" si="63"/>
        <v>0</v>
      </c>
      <c r="P191" s="345">
        <f t="shared" si="63"/>
        <v>0</v>
      </c>
      <c r="Q191" s="345">
        <f t="shared" si="63"/>
        <v>0</v>
      </c>
    </row>
    <row r="192" spans="1:17" s="330" customFormat="1">
      <c r="A192" s="347"/>
      <c r="B192" s="345" t="s">
        <v>28</v>
      </c>
      <c r="C192" s="390">
        <f>ROUNDDOWN(MAX(B112-C26,0),-3)</f>
        <v>0</v>
      </c>
      <c r="D192" s="401">
        <f>C192*$E$33</f>
        <v>0</v>
      </c>
      <c r="E192" s="401">
        <f t="shared" si="45"/>
        <v>0</v>
      </c>
      <c r="F192" s="345">
        <f t="shared" ref="F192:Q192" si="64">IF(C145=0,0,$E$192*1)</f>
        <v>0</v>
      </c>
      <c r="G192" s="345">
        <f t="shared" si="64"/>
        <v>0</v>
      </c>
      <c r="H192" s="345">
        <f t="shared" si="64"/>
        <v>0</v>
      </c>
      <c r="I192" s="345">
        <f t="shared" si="64"/>
        <v>0</v>
      </c>
      <c r="J192" s="345">
        <f t="shared" si="64"/>
        <v>0</v>
      </c>
      <c r="K192" s="345">
        <f t="shared" si="64"/>
        <v>0</v>
      </c>
      <c r="L192" s="345">
        <f t="shared" si="64"/>
        <v>0</v>
      </c>
      <c r="M192" s="345">
        <f t="shared" si="64"/>
        <v>0</v>
      </c>
      <c r="N192" s="345">
        <f t="shared" si="64"/>
        <v>0</v>
      </c>
      <c r="O192" s="345">
        <f t="shared" si="64"/>
        <v>0</v>
      </c>
      <c r="P192" s="345">
        <f t="shared" si="64"/>
        <v>0</v>
      </c>
      <c r="Q192" s="345">
        <f t="shared" si="64"/>
        <v>0</v>
      </c>
    </row>
    <row r="193" spans="1:17" s="330" customFormat="1">
      <c r="A193" s="348"/>
      <c r="B193" s="345" t="s">
        <v>3</v>
      </c>
      <c r="C193" s="390">
        <f>ROUNDDOWN(MAX(B112-C26,0),-3)</f>
        <v>0</v>
      </c>
      <c r="D193" s="401">
        <f>C193*$F$33</f>
        <v>0</v>
      </c>
      <c r="E193" s="401">
        <f t="shared" si="45"/>
        <v>0</v>
      </c>
      <c r="F193" s="345">
        <f t="shared" ref="F193:Q193" si="65">IF(C146=0,0,$E$193*1)</f>
        <v>0</v>
      </c>
      <c r="G193" s="345">
        <f t="shared" si="65"/>
        <v>0</v>
      </c>
      <c r="H193" s="345">
        <f t="shared" si="65"/>
        <v>0</v>
      </c>
      <c r="I193" s="345">
        <f t="shared" si="65"/>
        <v>0</v>
      </c>
      <c r="J193" s="345">
        <f t="shared" si="65"/>
        <v>0</v>
      </c>
      <c r="K193" s="345">
        <f t="shared" si="65"/>
        <v>0</v>
      </c>
      <c r="L193" s="345">
        <f t="shared" si="65"/>
        <v>0</v>
      </c>
      <c r="M193" s="345">
        <f t="shared" si="65"/>
        <v>0</v>
      </c>
      <c r="N193" s="345">
        <f t="shared" si="65"/>
        <v>0</v>
      </c>
      <c r="O193" s="345">
        <f t="shared" si="65"/>
        <v>0</v>
      </c>
      <c r="P193" s="345">
        <f t="shared" si="65"/>
        <v>0</v>
      </c>
      <c r="Q193" s="345">
        <f t="shared" si="65"/>
        <v>0</v>
      </c>
    </row>
    <row r="194" spans="1:17" s="330" customFormat="1">
      <c r="A194" s="346" t="s">
        <v>87</v>
      </c>
      <c r="B194" s="345" t="s">
        <v>33</v>
      </c>
      <c r="C194" s="390">
        <f>ROUNDDOWN(MAX(B114-C26,0),-3)</f>
        <v>0</v>
      </c>
      <c r="D194" s="401">
        <f>C194*$C$33</f>
        <v>0</v>
      </c>
      <c r="E194" s="401">
        <f t="shared" si="45"/>
        <v>0</v>
      </c>
      <c r="F194" s="345">
        <f t="shared" ref="F194:Q194" si="66">IF(C147=0,0,$E$194*1)</f>
        <v>0</v>
      </c>
      <c r="G194" s="345">
        <f t="shared" si="66"/>
        <v>0</v>
      </c>
      <c r="H194" s="345">
        <f t="shared" si="66"/>
        <v>0</v>
      </c>
      <c r="I194" s="345">
        <f t="shared" si="66"/>
        <v>0</v>
      </c>
      <c r="J194" s="345">
        <f t="shared" si="66"/>
        <v>0</v>
      </c>
      <c r="K194" s="345">
        <f t="shared" si="66"/>
        <v>0</v>
      </c>
      <c r="L194" s="345">
        <f t="shared" si="66"/>
        <v>0</v>
      </c>
      <c r="M194" s="345">
        <f t="shared" si="66"/>
        <v>0</v>
      </c>
      <c r="N194" s="345">
        <f t="shared" si="66"/>
        <v>0</v>
      </c>
      <c r="O194" s="345">
        <f t="shared" si="66"/>
        <v>0</v>
      </c>
      <c r="P194" s="345">
        <f t="shared" si="66"/>
        <v>0</v>
      </c>
      <c r="Q194" s="345">
        <f t="shared" si="66"/>
        <v>0</v>
      </c>
    </row>
    <row r="195" spans="1:17" s="330" customFormat="1">
      <c r="A195" s="347"/>
      <c r="B195" s="345" t="s">
        <v>57</v>
      </c>
      <c r="C195" s="390">
        <f>ROUNDDOWN(MAX(B114-C26,0),-3)</f>
        <v>0</v>
      </c>
      <c r="D195" s="401">
        <f>C195*$D$33</f>
        <v>0</v>
      </c>
      <c r="E195" s="401">
        <f t="shared" si="45"/>
        <v>0</v>
      </c>
      <c r="F195" s="345">
        <f t="shared" ref="F195:Q195" si="67">IF(C148=0,0,$E$195*1)</f>
        <v>0</v>
      </c>
      <c r="G195" s="345">
        <f t="shared" si="67"/>
        <v>0</v>
      </c>
      <c r="H195" s="345">
        <f t="shared" si="67"/>
        <v>0</v>
      </c>
      <c r="I195" s="345">
        <f t="shared" si="67"/>
        <v>0</v>
      </c>
      <c r="J195" s="345">
        <f t="shared" si="67"/>
        <v>0</v>
      </c>
      <c r="K195" s="345">
        <f t="shared" si="67"/>
        <v>0</v>
      </c>
      <c r="L195" s="345">
        <f t="shared" si="67"/>
        <v>0</v>
      </c>
      <c r="M195" s="345">
        <f t="shared" si="67"/>
        <v>0</v>
      </c>
      <c r="N195" s="345">
        <f t="shared" si="67"/>
        <v>0</v>
      </c>
      <c r="O195" s="345">
        <f t="shared" si="67"/>
        <v>0</v>
      </c>
      <c r="P195" s="345">
        <f t="shared" si="67"/>
        <v>0</v>
      </c>
      <c r="Q195" s="345">
        <f t="shared" si="67"/>
        <v>0</v>
      </c>
    </row>
    <row r="196" spans="1:17" s="330" customFormat="1">
      <c r="A196" s="347"/>
      <c r="B196" s="345" t="s">
        <v>28</v>
      </c>
      <c r="C196" s="390">
        <f>ROUNDDOWN(MAX(B114-C26,0),-3)</f>
        <v>0</v>
      </c>
      <c r="D196" s="401">
        <f>C196*$E$33</f>
        <v>0</v>
      </c>
      <c r="E196" s="401">
        <f t="shared" si="45"/>
        <v>0</v>
      </c>
      <c r="F196" s="345">
        <f t="shared" ref="F196:Q196" si="68">IF(C149=0,0,$E$196*1)</f>
        <v>0</v>
      </c>
      <c r="G196" s="345">
        <f t="shared" si="68"/>
        <v>0</v>
      </c>
      <c r="H196" s="345">
        <f t="shared" si="68"/>
        <v>0</v>
      </c>
      <c r="I196" s="345">
        <f t="shared" si="68"/>
        <v>0</v>
      </c>
      <c r="J196" s="345">
        <f t="shared" si="68"/>
        <v>0</v>
      </c>
      <c r="K196" s="345">
        <f t="shared" si="68"/>
        <v>0</v>
      </c>
      <c r="L196" s="345">
        <f t="shared" si="68"/>
        <v>0</v>
      </c>
      <c r="M196" s="345">
        <f t="shared" si="68"/>
        <v>0</v>
      </c>
      <c r="N196" s="345">
        <f t="shared" si="68"/>
        <v>0</v>
      </c>
      <c r="O196" s="345">
        <f t="shared" si="68"/>
        <v>0</v>
      </c>
      <c r="P196" s="345">
        <f t="shared" si="68"/>
        <v>0</v>
      </c>
      <c r="Q196" s="345">
        <f t="shared" si="68"/>
        <v>0</v>
      </c>
    </row>
    <row r="197" spans="1:17" s="330" customFormat="1">
      <c r="A197" s="348"/>
      <c r="B197" s="345" t="s">
        <v>3</v>
      </c>
      <c r="C197" s="390">
        <f>ROUNDDOWN(MAX(B114-C26,0),-3)</f>
        <v>0</v>
      </c>
      <c r="D197" s="401">
        <f>C197*$F$33</f>
        <v>0</v>
      </c>
      <c r="E197" s="401">
        <f t="shared" si="45"/>
        <v>0</v>
      </c>
      <c r="F197" s="345">
        <f t="shared" ref="F197:Q197" si="69">IF(C150=0,0,$E$197*1)</f>
        <v>0</v>
      </c>
      <c r="G197" s="345">
        <f t="shared" si="69"/>
        <v>0</v>
      </c>
      <c r="H197" s="345">
        <f t="shared" si="69"/>
        <v>0</v>
      </c>
      <c r="I197" s="345">
        <f t="shared" si="69"/>
        <v>0</v>
      </c>
      <c r="J197" s="345">
        <f t="shared" si="69"/>
        <v>0</v>
      </c>
      <c r="K197" s="345">
        <f t="shared" si="69"/>
        <v>0</v>
      </c>
      <c r="L197" s="345">
        <f t="shared" si="69"/>
        <v>0</v>
      </c>
      <c r="M197" s="345">
        <f t="shared" si="69"/>
        <v>0</v>
      </c>
      <c r="N197" s="345">
        <f t="shared" si="69"/>
        <v>0</v>
      </c>
      <c r="O197" s="345">
        <f t="shared" si="69"/>
        <v>0</v>
      </c>
      <c r="P197" s="345">
        <f t="shared" si="69"/>
        <v>0</v>
      </c>
      <c r="Q197" s="345">
        <f t="shared" si="69"/>
        <v>0</v>
      </c>
    </row>
    <row r="198" spans="1:17" s="330" customFormat="1">
      <c r="A198" s="346" t="s">
        <v>2</v>
      </c>
      <c r="B198" s="345" t="s">
        <v>33</v>
      </c>
      <c r="C198" s="390">
        <f>ROUNDDOWN(MAX(B116-C26,0),-3)</f>
        <v>0</v>
      </c>
      <c r="D198" s="401">
        <f>C198*$C$33</f>
        <v>0</v>
      </c>
      <c r="E198" s="401">
        <f t="shared" si="45"/>
        <v>0</v>
      </c>
      <c r="F198" s="345">
        <f t="shared" ref="F198:Q198" si="70">IF(C151=0,0,$E$198*1)</f>
        <v>0</v>
      </c>
      <c r="G198" s="345">
        <f t="shared" si="70"/>
        <v>0</v>
      </c>
      <c r="H198" s="345">
        <f t="shared" si="70"/>
        <v>0</v>
      </c>
      <c r="I198" s="345">
        <f t="shared" si="70"/>
        <v>0</v>
      </c>
      <c r="J198" s="345">
        <f t="shared" si="70"/>
        <v>0</v>
      </c>
      <c r="K198" s="345">
        <f t="shared" si="70"/>
        <v>0</v>
      </c>
      <c r="L198" s="345">
        <f t="shared" si="70"/>
        <v>0</v>
      </c>
      <c r="M198" s="345">
        <f t="shared" si="70"/>
        <v>0</v>
      </c>
      <c r="N198" s="345">
        <f t="shared" si="70"/>
        <v>0</v>
      </c>
      <c r="O198" s="345">
        <f t="shared" si="70"/>
        <v>0</v>
      </c>
      <c r="P198" s="345">
        <f t="shared" si="70"/>
        <v>0</v>
      </c>
      <c r="Q198" s="345">
        <f t="shared" si="70"/>
        <v>0</v>
      </c>
    </row>
    <row r="199" spans="1:17" s="330" customFormat="1">
      <c r="A199" s="347"/>
      <c r="B199" s="345" t="s">
        <v>57</v>
      </c>
      <c r="C199" s="390">
        <f>ROUNDDOWN(MAX(B116-C26,0),-3)</f>
        <v>0</v>
      </c>
      <c r="D199" s="401">
        <f>C199*$D$33</f>
        <v>0</v>
      </c>
      <c r="E199" s="401">
        <f t="shared" si="45"/>
        <v>0</v>
      </c>
      <c r="F199" s="345">
        <f t="shared" ref="F199:Q199" si="71">IF(C152=0,0,$E$199*1)</f>
        <v>0</v>
      </c>
      <c r="G199" s="345">
        <f t="shared" si="71"/>
        <v>0</v>
      </c>
      <c r="H199" s="345">
        <f t="shared" si="71"/>
        <v>0</v>
      </c>
      <c r="I199" s="345">
        <f t="shared" si="71"/>
        <v>0</v>
      </c>
      <c r="J199" s="345">
        <f t="shared" si="71"/>
        <v>0</v>
      </c>
      <c r="K199" s="345">
        <f t="shared" si="71"/>
        <v>0</v>
      </c>
      <c r="L199" s="345">
        <f t="shared" si="71"/>
        <v>0</v>
      </c>
      <c r="M199" s="345">
        <f t="shared" si="71"/>
        <v>0</v>
      </c>
      <c r="N199" s="345">
        <f t="shared" si="71"/>
        <v>0</v>
      </c>
      <c r="O199" s="345">
        <f t="shared" si="71"/>
        <v>0</v>
      </c>
      <c r="P199" s="345">
        <f t="shared" si="71"/>
        <v>0</v>
      </c>
      <c r="Q199" s="345">
        <f t="shared" si="71"/>
        <v>0</v>
      </c>
    </row>
    <row r="200" spans="1:17" s="330" customFormat="1">
      <c r="A200" s="347"/>
      <c r="B200" s="345" t="s">
        <v>28</v>
      </c>
      <c r="C200" s="390">
        <f>ROUNDDOWN(MAX(B116-C26,0),-3)</f>
        <v>0</v>
      </c>
      <c r="D200" s="401">
        <f>C200*$E$33</f>
        <v>0</v>
      </c>
      <c r="E200" s="401">
        <f t="shared" si="45"/>
        <v>0</v>
      </c>
      <c r="F200" s="345">
        <f t="shared" ref="F200:Q200" si="72">IF(C153=0,0,$E$200*1)</f>
        <v>0</v>
      </c>
      <c r="G200" s="345">
        <f t="shared" si="72"/>
        <v>0</v>
      </c>
      <c r="H200" s="345">
        <f t="shared" si="72"/>
        <v>0</v>
      </c>
      <c r="I200" s="345">
        <f t="shared" si="72"/>
        <v>0</v>
      </c>
      <c r="J200" s="345">
        <f t="shared" si="72"/>
        <v>0</v>
      </c>
      <c r="K200" s="345">
        <f t="shared" si="72"/>
        <v>0</v>
      </c>
      <c r="L200" s="345">
        <f t="shared" si="72"/>
        <v>0</v>
      </c>
      <c r="M200" s="345">
        <f t="shared" si="72"/>
        <v>0</v>
      </c>
      <c r="N200" s="345">
        <f t="shared" si="72"/>
        <v>0</v>
      </c>
      <c r="O200" s="345">
        <f t="shared" si="72"/>
        <v>0</v>
      </c>
      <c r="P200" s="345">
        <f t="shared" si="72"/>
        <v>0</v>
      </c>
      <c r="Q200" s="345">
        <f t="shared" si="72"/>
        <v>0</v>
      </c>
    </row>
    <row r="201" spans="1:17" s="330" customFormat="1">
      <c r="A201" s="348"/>
      <c r="B201" s="345" t="s">
        <v>3</v>
      </c>
      <c r="C201" s="390">
        <f>ROUNDDOWN(MAX(B116-C26,0),-3)</f>
        <v>0</v>
      </c>
      <c r="D201" s="401">
        <f>C201*$F$33</f>
        <v>0</v>
      </c>
      <c r="E201" s="401">
        <f t="shared" si="45"/>
        <v>0</v>
      </c>
      <c r="F201" s="345">
        <f t="shared" ref="F201:Q201" si="73">IF(C154=0,0,$E$201*1)</f>
        <v>0</v>
      </c>
      <c r="G201" s="345">
        <f t="shared" si="73"/>
        <v>0</v>
      </c>
      <c r="H201" s="345">
        <f t="shared" si="73"/>
        <v>0</v>
      </c>
      <c r="I201" s="345">
        <f t="shared" si="73"/>
        <v>0</v>
      </c>
      <c r="J201" s="345">
        <f t="shared" si="73"/>
        <v>0</v>
      </c>
      <c r="K201" s="345">
        <f t="shared" si="73"/>
        <v>0</v>
      </c>
      <c r="L201" s="345">
        <f t="shared" si="73"/>
        <v>0</v>
      </c>
      <c r="M201" s="345">
        <f t="shared" si="73"/>
        <v>0</v>
      </c>
      <c r="N201" s="345">
        <f t="shared" si="73"/>
        <v>0</v>
      </c>
      <c r="O201" s="345">
        <f t="shared" si="73"/>
        <v>0</v>
      </c>
      <c r="P201" s="345">
        <f t="shared" si="73"/>
        <v>0</v>
      </c>
      <c r="Q201" s="345">
        <f t="shared" si="73"/>
        <v>0</v>
      </c>
    </row>
    <row r="202" spans="1:17" s="330" customFormat="1">
      <c r="A202" s="346" t="s">
        <v>91</v>
      </c>
      <c r="B202" s="345" t="s">
        <v>33</v>
      </c>
      <c r="C202" s="390">
        <f>ROUNDDOWN(MAX(B118-C26,0),-3)</f>
        <v>0</v>
      </c>
      <c r="D202" s="401">
        <f>C202*$C$33</f>
        <v>0</v>
      </c>
      <c r="E202" s="401">
        <f t="shared" si="45"/>
        <v>0</v>
      </c>
      <c r="F202" s="345">
        <f t="shared" ref="F202:Q202" si="74">IF(C155=0,0,$E$202*1)</f>
        <v>0</v>
      </c>
      <c r="G202" s="345">
        <f t="shared" si="74"/>
        <v>0</v>
      </c>
      <c r="H202" s="345">
        <f t="shared" si="74"/>
        <v>0</v>
      </c>
      <c r="I202" s="345">
        <f t="shared" si="74"/>
        <v>0</v>
      </c>
      <c r="J202" s="345">
        <f t="shared" si="74"/>
        <v>0</v>
      </c>
      <c r="K202" s="345">
        <f t="shared" si="74"/>
        <v>0</v>
      </c>
      <c r="L202" s="345">
        <f t="shared" si="74"/>
        <v>0</v>
      </c>
      <c r="M202" s="345">
        <f t="shared" si="74"/>
        <v>0</v>
      </c>
      <c r="N202" s="345">
        <f t="shared" si="74"/>
        <v>0</v>
      </c>
      <c r="O202" s="345">
        <f t="shared" si="74"/>
        <v>0</v>
      </c>
      <c r="P202" s="345">
        <f t="shared" si="74"/>
        <v>0</v>
      </c>
      <c r="Q202" s="345">
        <f t="shared" si="74"/>
        <v>0</v>
      </c>
    </row>
    <row r="203" spans="1:17" s="330" customFormat="1">
      <c r="A203" s="347"/>
      <c r="B203" s="345" t="s">
        <v>57</v>
      </c>
      <c r="C203" s="390">
        <f>ROUNDDOWN(MAX(B118-C26,0),-3)</f>
        <v>0</v>
      </c>
      <c r="D203" s="401">
        <f>C203*$D$33</f>
        <v>0</v>
      </c>
      <c r="E203" s="401">
        <f t="shared" si="45"/>
        <v>0</v>
      </c>
      <c r="F203" s="345">
        <f t="shared" ref="F203:Q203" si="75">IF(C156=0,0,$E$203*1)</f>
        <v>0</v>
      </c>
      <c r="G203" s="345">
        <f t="shared" si="75"/>
        <v>0</v>
      </c>
      <c r="H203" s="345">
        <f t="shared" si="75"/>
        <v>0</v>
      </c>
      <c r="I203" s="345">
        <f t="shared" si="75"/>
        <v>0</v>
      </c>
      <c r="J203" s="345">
        <f t="shared" si="75"/>
        <v>0</v>
      </c>
      <c r="K203" s="345">
        <f t="shared" si="75"/>
        <v>0</v>
      </c>
      <c r="L203" s="345">
        <f t="shared" si="75"/>
        <v>0</v>
      </c>
      <c r="M203" s="345">
        <f t="shared" si="75"/>
        <v>0</v>
      </c>
      <c r="N203" s="345">
        <f t="shared" si="75"/>
        <v>0</v>
      </c>
      <c r="O203" s="345">
        <f t="shared" si="75"/>
        <v>0</v>
      </c>
      <c r="P203" s="345">
        <f t="shared" si="75"/>
        <v>0</v>
      </c>
      <c r="Q203" s="345">
        <f t="shared" si="75"/>
        <v>0</v>
      </c>
    </row>
    <row r="204" spans="1:17" s="330" customFormat="1">
      <c r="A204" s="347"/>
      <c r="B204" s="345" t="s">
        <v>28</v>
      </c>
      <c r="C204" s="390">
        <f>ROUNDDOWN(MAX(B118-C26,0),-3)</f>
        <v>0</v>
      </c>
      <c r="D204" s="401">
        <f>C204*$E$33</f>
        <v>0</v>
      </c>
      <c r="E204" s="401">
        <f t="shared" si="45"/>
        <v>0</v>
      </c>
      <c r="F204" s="345">
        <f t="shared" ref="F204:Q204" si="76">IF(C157=0,0,$E$204*1)</f>
        <v>0</v>
      </c>
      <c r="G204" s="345">
        <f t="shared" si="76"/>
        <v>0</v>
      </c>
      <c r="H204" s="345">
        <f t="shared" si="76"/>
        <v>0</v>
      </c>
      <c r="I204" s="345">
        <f t="shared" si="76"/>
        <v>0</v>
      </c>
      <c r="J204" s="345">
        <f t="shared" si="76"/>
        <v>0</v>
      </c>
      <c r="K204" s="345">
        <f t="shared" si="76"/>
        <v>0</v>
      </c>
      <c r="L204" s="345">
        <f t="shared" si="76"/>
        <v>0</v>
      </c>
      <c r="M204" s="345">
        <f t="shared" si="76"/>
        <v>0</v>
      </c>
      <c r="N204" s="345">
        <f t="shared" si="76"/>
        <v>0</v>
      </c>
      <c r="O204" s="345">
        <f t="shared" si="76"/>
        <v>0</v>
      </c>
      <c r="P204" s="345">
        <f t="shared" si="76"/>
        <v>0</v>
      </c>
      <c r="Q204" s="345">
        <f t="shared" si="76"/>
        <v>0</v>
      </c>
    </row>
    <row r="205" spans="1:17" s="330" customFormat="1">
      <c r="A205" s="348"/>
      <c r="B205" s="345" t="s">
        <v>3</v>
      </c>
      <c r="C205" s="390">
        <f>ROUNDDOWN(MAX(B118-C26,0),-3)</f>
        <v>0</v>
      </c>
      <c r="D205" s="401">
        <f>C205*$F$33</f>
        <v>0</v>
      </c>
      <c r="E205" s="401">
        <f t="shared" si="45"/>
        <v>0</v>
      </c>
      <c r="F205" s="345">
        <f t="shared" ref="F205:Q205" si="77">IF(C158=0,0,$E$205*1)</f>
        <v>0</v>
      </c>
      <c r="G205" s="345">
        <f t="shared" si="77"/>
        <v>0</v>
      </c>
      <c r="H205" s="345">
        <f t="shared" si="77"/>
        <v>0</v>
      </c>
      <c r="I205" s="345">
        <f t="shared" si="77"/>
        <v>0</v>
      </c>
      <c r="J205" s="345">
        <f t="shared" si="77"/>
        <v>0</v>
      </c>
      <c r="K205" s="345">
        <f t="shared" si="77"/>
        <v>0</v>
      </c>
      <c r="L205" s="345">
        <f t="shared" si="77"/>
        <v>0</v>
      </c>
      <c r="M205" s="345">
        <f t="shared" si="77"/>
        <v>0</v>
      </c>
      <c r="N205" s="345">
        <f t="shared" si="77"/>
        <v>0</v>
      </c>
      <c r="O205" s="345">
        <f t="shared" si="77"/>
        <v>0</v>
      </c>
      <c r="P205" s="345">
        <f t="shared" si="77"/>
        <v>0</v>
      </c>
      <c r="Q205" s="345">
        <f t="shared" si="77"/>
        <v>0</v>
      </c>
    </row>
    <row r="206" spans="1:17" s="330" customFormat="1">
      <c r="A206" s="330"/>
      <c r="B206" s="330"/>
      <c r="C206" s="330"/>
      <c r="D206" s="330"/>
      <c r="E206" s="330"/>
      <c r="F206" s="330"/>
      <c r="G206" s="330"/>
      <c r="H206" s="330"/>
      <c r="I206" s="330"/>
      <c r="J206" s="330"/>
      <c r="K206" s="330"/>
      <c r="L206" s="330"/>
      <c r="M206" s="330"/>
      <c r="N206" s="333"/>
      <c r="O206" s="330"/>
      <c r="P206" s="330"/>
      <c r="Q206" s="330"/>
    </row>
    <row r="207" spans="1:17" s="330" customFormat="1">
      <c r="A207" s="330"/>
      <c r="B207" s="330"/>
      <c r="C207" s="330"/>
      <c r="D207" s="330"/>
      <c r="E207" s="330"/>
      <c r="F207" s="330"/>
      <c r="G207" s="330"/>
      <c r="H207" s="330"/>
      <c r="I207" s="330"/>
      <c r="J207" s="330"/>
      <c r="K207" s="330"/>
      <c r="L207" s="330"/>
      <c r="M207" s="330"/>
      <c r="N207" s="333"/>
      <c r="O207" s="330"/>
      <c r="P207" s="330"/>
      <c r="Q207" s="330"/>
    </row>
    <row r="208" spans="1:17" s="330" customFormat="1">
      <c r="A208" s="330"/>
      <c r="B208" s="330"/>
      <c r="C208" s="330"/>
      <c r="D208" s="330"/>
      <c r="E208" s="330"/>
      <c r="F208" s="330"/>
      <c r="G208" s="330"/>
      <c r="H208" s="330"/>
      <c r="I208" s="330"/>
      <c r="J208" s="330"/>
      <c r="K208" s="330"/>
      <c r="L208" s="330"/>
      <c r="M208" s="330"/>
      <c r="N208" s="333"/>
      <c r="O208" s="330"/>
      <c r="P208" s="330"/>
      <c r="Q208" s="330"/>
    </row>
    <row r="209" spans="1:16" s="330" customFormat="1">
      <c r="A209" s="344" t="s">
        <v>101</v>
      </c>
      <c r="B209" s="330"/>
      <c r="C209" s="330"/>
      <c r="D209" s="330"/>
      <c r="E209" s="330"/>
      <c r="F209" s="330"/>
      <c r="G209" s="330"/>
      <c r="H209" s="330"/>
      <c r="I209" s="330"/>
      <c r="J209" s="330"/>
      <c r="K209" s="330"/>
      <c r="L209" s="330"/>
      <c r="M209" s="330"/>
      <c r="N209" s="333"/>
      <c r="O209" s="330"/>
      <c r="P209" s="330"/>
    </row>
    <row r="210" spans="1:16" s="330" customFormat="1">
      <c r="A210" s="344"/>
      <c r="B210" s="330"/>
      <c r="C210" s="330"/>
      <c r="D210" s="330"/>
      <c r="E210" s="330"/>
      <c r="F210" s="330"/>
      <c r="G210" s="330"/>
      <c r="H210" s="330"/>
      <c r="I210" s="330"/>
      <c r="J210" s="330"/>
      <c r="K210" s="330"/>
      <c r="L210" s="330"/>
      <c r="M210" s="330"/>
      <c r="N210" s="333"/>
      <c r="O210" s="330"/>
      <c r="P210" s="330"/>
    </row>
    <row r="211" spans="1:16" s="330" customFormat="1">
      <c r="A211" s="344" t="s">
        <v>343</v>
      </c>
      <c r="B211" s="330"/>
      <c r="C211" s="330"/>
      <c r="D211" s="330"/>
      <c r="E211" s="330"/>
      <c r="F211" s="330"/>
      <c r="G211" s="330"/>
      <c r="H211" s="330"/>
      <c r="I211" s="330"/>
      <c r="J211" s="330"/>
      <c r="K211" s="330"/>
      <c r="L211" s="330"/>
      <c r="M211" s="330"/>
      <c r="N211" s="333"/>
      <c r="O211" s="330"/>
      <c r="P211" s="330"/>
    </row>
    <row r="212" spans="1:16" s="330" customFormat="1">
      <c r="A212" s="352"/>
      <c r="B212" s="345" t="s">
        <v>123</v>
      </c>
      <c r="C212" s="391" t="s">
        <v>65</v>
      </c>
      <c r="D212" s="345" t="s">
        <v>40</v>
      </c>
      <c r="E212" s="345" t="s">
        <v>19</v>
      </c>
      <c r="F212" s="345" t="s">
        <v>41</v>
      </c>
      <c r="G212" s="345" t="s">
        <v>42</v>
      </c>
      <c r="H212" s="345" t="s">
        <v>44</v>
      </c>
      <c r="I212" s="345" t="s">
        <v>48</v>
      </c>
      <c r="J212" s="345" t="s">
        <v>35</v>
      </c>
      <c r="K212" s="345" t="s">
        <v>47</v>
      </c>
      <c r="L212" s="345" t="s">
        <v>50</v>
      </c>
      <c r="M212" s="345" t="s">
        <v>77</v>
      </c>
      <c r="N212" s="345" t="s">
        <v>78</v>
      </c>
      <c r="O212" s="345" t="s">
        <v>79</v>
      </c>
      <c r="P212" s="345" t="s">
        <v>72</v>
      </c>
    </row>
    <row r="213" spans="1:16" s="330" customFormat="1">
      <c r="A213" s="335" t="s">
        <v>31</v>
      </c>
      <c r="B213" s="345" t="s">
        <v>33</v>
      </c>
      <c r="C213" s="392"/>
      <c r="D213" s="345">
        <f t="shared" ref="D213:O216" si="78">F174+F178+F182+F186+F190+F194+F198+F202</f>
        <v>0</v>
      </c>
      <c r="E213" s="345">
        <f t="shared" si="78"/>
        <v>0</v>
      </c>
      <c r="F213" s="345">
        <f t="shared" si="78"/>
        <v>0</v>
      </c>
      <c r="G213" s="345">
        <f t="shared" si="78"/>
        <v>0</v>
      </c>
      <c r="H213" s="345">
        <f t="shared" si="78"/>
        <v>0</v>
      </c>
      <c r="I213" s="345">
        <f t="shared" si="78"/>
        <v>0</v>
      </c>
      <c r="J213" s="345">
        <f t="shared" si="78"/>
        <v>0</v>
      </c>
      <c r="K213" s="345">
        <f t="shared" si="78"/>
        <v>0</v>
      </c>
      <c r="L213" s="345">
        <f t="shared" si="78"/>
        <v>0</v>
      </c>
      <c r="M213" s="345">
        <f t="shared" si="78"/>
        <v>0</v>
      </c>
      <c r="N213" s="345">
        <f t="shared" si="78"/>
        <v>0</v>
      </c>
      <c r="O213" s="345">
        <f t="shared" si="78"/>
        <v>0</v>
      </c>
      <c r="P213" s="434">
        <f t="shared" ref="P213:P231" si="79">ROUNDDOWN(SUM(D213:O213),0)</f>
        <v>0</v>
      </c>
    </row>
    <row r="214" spans="1:16" s="330" customFormat="1">
      <c r="A214" s="335"/>
      <c r="B214" s="345" t="s">
        <v>57</v>
      </c>
      <c r="C214" s="392"/>
      <c r="D214" s="345">
        <f t="shared" si="78"/>
        <v>0</v>
      </c>
      <c r="E214" s="345">
        <f t="shared" si="78"/>
        <v>0</v>
      </c>
      <c r="F214" s="345">
        <f t="shared" si="78"/>
        <v>0</v>
      </c>
      <c r="G214" s="345">
        <f t="shared" si="78"/>
        <v>0</v>
      </c>
      <c r="H214" s="345">
        <f t="shared" si="78"/>
        <v>0</v>
      </c>
      <c r="I214" s="345">
        <f t="shared" si="78"/>
        <v>0</v>
      </c>
      <c r="J214" s="345">
        <f t="shared" si="78"/>
        <v>0</v>
      </c>
      <c r="K214" s="345">
        <f t="shared" si="78"/>
        <v>0</v>
      </c>
      <c r="L214" s="345">
        <f t="shared" si="78"/>
        <v>0</v>
      </c>
      <c r="M214" s="345">
        <f t="shared" si="78"/>
        <v>0</v>
      </c>
      <c r="N214" s="345">
        <f t="shared" si="78"/>
        <v>0</v>
      </c>
      <c r="O214" s="345">
        <f t="shared" si="78"/>
        <v>0</v>
      </c>
      <c r="P214" s="434">
        <f t="shared" si="79"/>
        <v>0</v>
      </c>
    </row>
    <row r="215" spans="1:16" s="330" customFormat="1">
      <c r="A215" s="335"/>
      <c r="B215" s="345" t="s">
        <v>28</v>
      </c>
      <c r="C215" s="392"/>
      <c r="D215" s="345">
        <f t="shared" si="78"/>
        <v>0</v>
      </c>
      <c r="E215" s="345">
        <f t="shared" si="78"/>
        <v>0</v>
      </c>
      <c r="F215" s="345">
        <f t="shared" si="78"/>
        <v>0</v>
      </c>
      <c r="G215" s="345">
        <f t="shared" si="78"/>
        <v>0</v>
      </c>
      <c r="H215" s="345">
        <f t="shared" si="78"/>
        <v>0</v>
      </c>
      <c r="I215" s="345">
        <f t="shared" si="78"/>
        <v>0</v>
      </c>
      <c r="J215" s="345">
        <f t="shared" si="78"/>
        <v>0</v>
      </c>
      <c r="K215" s="345">
        <f t="shared" si="78"/>
        <v>0</v>
      </c>
      <c r="L215" s="345">
        <f t="shared" si="78"/>
        <v>0</v>
      </c>
      <c r="M215" s="345">
        <f t="shared" si="78"/>
        <v>0</v>
      </c>
      <c r="N215" s="345">
        <f t="shared" si="78"/>
        <v>0</v>
      </c>
      <c r="O215" s="345">
        <f t="shared" si="78"/>
        <v>0</v>
      </c>
      <c r="P215" s="434">
        <f t="shared" si="79"/>
        <v>0</v>
      </c>
    </row>
    <row r="216" spans="1:16" s="330" customFormat="1">
      <c r="A216" s="335"/>
      <c r="B216" s="345" t="s">
        <v>3</v>
      </c>
      <c r="C216" s="392"/>
      <c r="D216" s="345">
        <f t="shared" si="78"/>
        <v>0</v>
      </c>
      <c r="E216" s="345">
        <f t="shared" si="78"/>
        <v>0</v>
      </c>
      <c r="F216" s="345">
        <f t="shared" si="78"/>
        <v>0</v>
      </c>
      <c r="G216" s="345">
        <f t="shared" si="78"/>
        <v>0</v>
      </c>
      <c r="H216" s="345">
        <f t="shared" si="78"/>
        <v>0</v>
      </c>
      <c r="I216" s="345">
        <f t="shared" si="78"/>
        <v>0</v>
      </c>
      <c r="J216" s="345">
        <f t="shared" si="78"/>
        <v>0</v>
      </c>
      <c r="K216" s="345">
        <f t="shared" si="78"/>
        <v>0</v>
      </c>
      <c r="L216" s="345">
        <f t="shared" si="78"/>
        <v>0</v>
      </c>
      <c r="M216" s="345">
        <f t="shared" si="78"/>
        <v>0</v>
      </c>
      <c r="N216" s="345">
        <f t="shared" si="78"/>
        <v>0</v>
      </c>
      <c r="O216" s="345">
        <f t="shared" si="78"/>
        <v>0</v>
      </c>
      <c r="P216" s="434">
        <f t="shared" si="79"/>
        <v>0</v>
      </c>
    </row>
    <row r="217" spans="1:16" s="330" customFormat="1">
      <c r="A217" s="336" t="s">
        <v>16</v>
      </c>
      <c r="B217" s="345" t="s">
        <v>33</v>
      </c>
      <c r="C217" s="345">
        <f>C34/12</f>
        <v>2083.3333333333335</v>
      </c>
      <c r="D217" s="345">
        <f t="shared" ref="D217:O217" si="80">$C$217*C159</f>
        <v>0</v>
      </c>
      <c r="E217" s="345">
        <f t="shared" si="80"/>
        <v>0</v>
      </c>
      <c r="F217" s="345">
        <f t="shared" si="80"/>
        <v>0</v>
      </c>
      <c r="G217" s="345">
        <f t="shared" si="80"/>
        <v>0</v>
      </c>
      <c r="H217" s="345">
        <f t="shared" si="80"/>
        <v>0</v>
      </c>
      <c r="I217" s="345">
        <f t="shared" si="80"/>
        <v>0</v>
      </c>
      <c r="J217" s="345">
        <f t="shared" si="80"/>
        <v>0</v>
      </c>
      <c r="K217" s="345">
        <f t="shared" si="80"/>
        <v>0</v>
      </c>
      <c r="L217" s="345">
        <f t="shared" si="80"/>
        <v>0</v>
      </c>
      <c r="M217" s="345">
        <f t="shared" si="80"/>
        <v>0</v>
      </c>
      <c r="N217" s="345">
        <f t="shared" si="80"/>
        <v>0</v>
      </c>
      <c r="O217" s="345">
        <f t="shared" si="80"/>
        <v>0</v>
      </c>
      <c r="P217" s="434">
        <f t="shared" si="79"/>
        <v>0</v>
      </c>
    </row>
    <row r="218" spans="1:16" s="330" customFormat="1">
      <c r="A218" s="337"/>
      <c r="B218" s="345" t="s">
        <v>57</v>
      </c>
      <c r="C218" s="345">
        <f>D34/12</f>
        <v>683.33333333333337</v>
      </c>
      <c r="D218" s="345">
        <f t="shared" ref="D218:O218" si="81">$C$218*C160</f>
        <v>0</v>
      </c>
      <c r="E218" s="345">
        <f t="shared" si="81"/>
        <v>0</v>
      </c>
      <c r="F218" s="345">
        <f t="shared" si="81"/>
        <v>0</v>
      </c>
      <c r="G218" s="345">
        <f t="shared" si="81"/>
        <v>0</v>
      </c>
      <c r="H218" s="345">
        <f t="shared" si="81"/>
        <v>0</v>
      </c>
      <c r="I218" s="345">
        <f t="shared" si="81"/>
        <v>0</v>
      </c>
      <c r="J218" s="345">
        <f t="shared" si="81"/>
        <v>0</v>
      </c>
      <c r="K218" s="345">
        <f t="shared" si="81"/>
        <v>0</v>
      </c>
      <c r="L218" s="345">
        <f t="shared" si="81"/>
        <v>0</v>
      </c>
      <c r="M218" s="345">
        <f t="shared" si="81"/>
        <v>0</v>
      </c>
      <c r="N218" s="345">
        <f t="shared" si="81"/>
        <v>0</v>
      </c>
      <c r="O218" s="345">
        <f t="shared" si="81"/>
        <v>0</v>
      </c>
      <c r="P218" s="434">
        <f t="shared" si="79"/>
        <v>0</v>
      </c>
    </row>
    <row r="219" spans="1:16" s="330" customFormat="1">
      <c r="A219" s="337"/>
      <c r="B219" s="345" t="s">
        <v>28</v>
      </c>
      <c r="C219" s="345">
        <f>E34/12</f>
        <v>791.66666666666663</v>
      </c>
      <c r="D219" s="345">
        <f t="shared" ref="D219:O219" si="82">$C$219*C161</f>
        <v>0</v>
      </c>
      <c r="E219" s="345">
        <f t="shared" si="82"/>
        <v>0</v>
      </c>
      <c r="F219" s="345">
        <f t="shared" si="82"/>
        <v>0</v>
      </c>
      <c r="G219" s="345">
        <f t="shared" si="82"/>
        <v>0</v>
      </c>
      <c r="H219" s="345">
        <f t="shared" si="82"/>
        <v>0</v>
      </c>
      <c r="I219" s="345">
        <f t="shared" si="82"/>
        <v>0</v>
      </c>
      <c r="J219" s="345">
        <f t="shared" si="82"/>
        <v>0</v>
      </c>
      <c r="K219" s="345">
        <f t="shared" si="82"/>
        <v>0</v>
      </c>
      <c r="L219" s="345">
        <f t="shared" si="82"/>
        <v>0</v>
      </c>
      <c r="M219" s="345">
        <f t="shared" si="82"/>
        <v>0</v>
      </c>
      <c r="N219" s="345">
        <f t="shared" si="82"/>
        <v>0</v>
      </c>
      <c r="O219" s="345">
        <f t="shared" si="82"/>
        <v>0</v>
      </c>
      <c r="P219" s="434">
        <f t="shared" si="79"/>
        <v>0</v>
      </c>
    </row>
    <row r="220" spans="1:16" s="330" customFormat="1">
      <c r="A220" s="338"/>
      <c r="B220" s="345" t="s">
        <v>3</v>
      </c>
      <c r="C220" s="345">
        <f>F34/12</f>
        <v>111.66666666666667</v>
      </c>
      <c r="D220" s="345">
        <f t="shared" ref="D220:O220" si="83">$C$220*C162</f>
        <v>0</v>
      </c>
      <c r="E220" s="345">
        <f t="shared" si="83"/>
        <v>0</v>
      </c>
      <c r="F220" s="345">
        <f t="shared" si="83"/>
        <v>0</v>
      </c>
      <c r="G220" s="345">
        <f t="shared" si="83"/>
        <v>0</v>
      </c>
      <c r="H220" s="345">
        <f t="shared" si="83"/>
        <v>0</v>
      </c>
      <c r="I220" s="345">
        <f t="shared" si="83"/>
        <v>0</v>
      </c>
      <c r="J220" s="345">
        <f t="shared" si="83"/>
        <v>0</v>
      </c>
      <c r="K220" s="345">
        <f t="shared" si="83"/>
        <v>0</v>
      </c>
      <c r="L220" s="345">
        <f t="shared" si="83"/>
        <v>0</v>
      </c>
      <c r="M220" s="345">
        <f t="shared" si="83"/>
        <v>0</v>
      </c>
      <c r="N220" s="345">
        <f t="shared" si="83"/>
        <v>0</v>
      </c>
      <c r="O220" s="345">
        <f t="shared" si="83"/>
        <v>0</v>
      </c>
      <c r="P220" s="434">
        <f t="shared" si="79"/>
        <v>0</v>
      </c>
    </row>
    <row r="221" spans="1:16" s="330" customFormat="1">
      <c r="A221" s="353" t="s">
        <v>324</v>
      </c>
      <c r="B221" s="345" t="s">
        <v>3</v>
      </c>
      <c r="C221" s="345">
        <f>F42/12</f>
        <v>6.666666666666667</v>
      </c>
      <c r="D221" s="345">
        <f t="shared" ref="D221:O221" si="84">$C$221*C164</f>
        <v>0</v>
      </c>
      <c r="E221" s="345">
        <f t="shared" si="84"/>
        <v>0</v>
      </c>
      <c r="F221" s="345">
        <f t="shared" si="84"/>
        <v>0</v>
      </c>
      <c r="G221" s="345">
        <f t="shared" si="84"/>
        <v>0</v>
      </c>
      <c r="H221" s="345">
        <f t="shared" si="84"/>
        <v>0</v>
      </c>
      <c r="I221" s="345">
        <f t="shared" si="84"/>
        <v>0</v>
      </c>
      <c r="J221" s="345">
        <f t="shared" si="84"/>
        <v>0</v>
      </c>
      <c r="K221" s="345">
        <f t="shared" si="84"/>
        <v>0</v>
      </c>
      <c r="L221" s="345">
        <f t="shared" si="84"/>
        <v>0</v>
      </c>
      <c r="M221" s="345">
        <f t="shared" si="84"/>
        <v>0</v>
      </c>
      <c r="N221" s="345">
        <f t="shared" si="84"/>
        <v>0</v>
      </c>
      <c r="O221" s="345">
        <f t="shared" si="84"/>
        <v>0</v>
      </c>
      <c r="P221" s="434">
        <f t="shared" si="79"/>
        <v>0</v>
      </c>
    </row>
    <row r="222" spans="1:16" s="330" customFormat="1">
      <c r="A222" s="354" t="s">
        <v>4</v>
      </c>
      <c r="B222" s="345" t="s">
        <v>33</v>
      </c>
      <c r="C222" s="345">
        <f>C46/12</f>
        <v>1458.3333333333333</v>
      </c>
      <c r="D222" s="345">
        <f t="shared" ref="D222:O222" si="85">IF(C168=$A$224,$C$222*IF(C159&gt;0,1,0),0)</f>
        <v>0</v>
      </c>
      <c r="E222" s="345">
        <f t="shared" si="85"/>
        <v>0</v>
      </c>
      <c r="F222" s="345">
        <f t="shared" si="85"/>
        <v>0</v>
      </c>
      <c r="G222" s="345">
        <f t="shared" si="85"/>
        <v>0</v>
      </c>
      <c r="H222" s="345">
        <f t="shared" si="85"/>
        <v>0</v>
      </c>
      <c r="I222" s="345">
        <f t="shared" si="85"/>
        <v>0</v>
      </c>
      <c r="J222" s="345">
        <f t="shared" si="85"/>
        <v>0</v>
      </c>
      <c r="K222" s="345">
        <f t="shared" si="85"/>
        <v>0</v>
      </c>
      <c r="L222" s="345">
        <f t="shared" si="85"/>
        <v>0</v>
      </c>
      <c r="M222" s="345">
        <f t="shared" si="85"/>
        <v>0</v>
      </c>
      <c r="N222" s="345">
        <f t="shared" si="85"/>
        <v>0</v>
      </c>
      <c r="O222" s="345">
        <f t="shared" si="85"/>
        <v>0</v>
      </c>
      <c r="P222" s="434">
        <f t="shared" si="79"/>
        <v>0</v>
      </c>
    </row>
    <row r="223" spans="1:16" s="330" customFormat="1">
      <c r="A223" s="355"/>
      <c r="B223" s="345" t="s">
        <v>57</v>
      </c>
      <c r="C223" s="345">
        <f>D46/12</f>
        <v>583.33333333333337</v>
      </c>
      <c r="D223" s="345">
        <f t="shared" ref="D223:O223" si="86">IF(C168=$A$224,$C$223*IF(C160&gt;0,1,0),0)</f>
        <v>0</v>
      </c>
      <c r="E223" s="345">
        <f t="shared" si="86"/>
        <v>0</v>
      </c>
      <c r="F223" s="345">
        <f t="shared" si="86"/>
        <v>0</v>
      </c>
      <c r="G223" s="345">
        <f t="shared" si="86"/>
        <v>0</v>
      </c>
      <c r="H223" s="345">
        <f t="shared" si="86"/>
        <v>0</v>
      </c>
      <c r="I223" s="345">
        <f t="shared" si="86"/>
        <v>0</v>
      </c>
      <c r="J223" s="345">
        <f t="shared" si="86"/>
        <v>0</v>
      </c>
      <c r="K223" s="345">
        <f t="shared" si="86"/>
        <v>0</v>
      </c>
      <c r="L223" s="345">
        <f t="shared" si="86"/>
        <v>0</v>
      </c>
      <c r="M223" s="345">
        <f t="shared" si="86"/>
        <v>0</v>
      </c>
      <c r="N223" s="345">
        <f t="shared" si="86"/>
        <v>0</v>
      </c>
      <c r="O223" s="345">
        <f t="shared" si="86"/>
        <v>0</v>
      </c>
      <c r="P223" s="434">
        <f t="shared" si="79"/>
        <v>0</v>
      </c>
    </row>
    <row r="224" spans="1:16" s="330" customFormat="1">
      <c r="A224" s="356" t="s">
        <v>152</v>
      </c>
      <c r="B224" s="373" t="s">
        <v>28</v>
      </c>
      <c r="C224" s="345">
        <f>E46/12</f>
        <v>541.66666666666663</v>
      </c>
      <c r="D224" s="345">
        <f t="shared" ref="D224:O224" si="87">IF(C168=$A$224,$C$224*IF(C161&gt;0,1,0),0)</f>
        <v>0</v>
      </c>
      <c r="E224" s="345">
        <f t="shared" si="87"/>
        <v>0</v>
      </c>
      <c r="F224" s="345">
        <f t="shared" si="87"/>
        <v>0</v>
      </c>
      <c r="G224" s="345">
        <f t="shared" si="87"/>
        <v>0</v>
      </c>
      <c r="H224" s="345">
        <f t="shared" si="87"/>
        <v>0</v>
      </c>
      <c r="I224" s="345">
        <f t="shared" si="87"/>
        <v>0</v>
      </c>
      <c r="J224" s="345">
        <f t="shared" si="87"/>
        <v>0</v>
      </c>
      <c r="K224" s="345">
        <f t="shared" si="87"/>
        <v>0</v>
      </c>
      <c r="L224" s="345">
        <f t="shared" si="87"/>
        <v>0</v>
      </c>
      <c r="M224" s="345">
        <f t="shared" si="87"/>
        <v>0</v>
      </c>
      <c r="N224" s="345">
        <f t="shared" si="87"/>
        <v>0</v>
      </c>
      <c r="O224" s="345">
        <f t="shared" si="87"/>
        <v>0</v>
      </c>
      <c r="P224" s="434">
        <f t="shared" si="79"/>
        <v>0</v>
      </c>
    </row>
    <row r="225" spans="1:20" s="330" customFormat="1">
      <c r="A225" s="357"/>
      <c r="B225" s="345" t="s">
        <v>54</v>
      </c>
      <c r="C225" s="345">
        <f>F46/12</f>
        <v>71.666666666666671</v>
      </c>
      <c r="D225" s="345">
        <f t="shared" ref="D225:O225" si="88">IF(C168=$A$224,$C$225*IF(C162&gt;0,1,0),0)</f>
        <v>0</v>
      </c>
      <c r="E225" s="345">
        <f t="shared" si="88"/>
        <v>0</v>
      </c>
      <c r="F225" s="345">
        <f t="shared" si="88"/>
        <v>0</v>
      </c>
      <c r="G225" s="345">
        <f t="shared" si="88"/>
        <v>0</v>
      </c>
      <c r="H225" s="345">
        <f t="shared" si="88"/>
        <v>0</v>
      </c>
      <c r="I225" s="345">
        <f t="shared" si="88"/>
        <v>0</v>
      </c>
      <c r="J225" s="345">
        <f t="shared" si="88"/>
        <v>0</v>
      </c>
      <c r="K225" s="345">
        <f t="shared" si="88"/>
        <v>0</v>
      </c>
      <c r="L225" s="345">
        <f t="shared" si="88"/>
        <v>0</v>
      </c>
      <c r="M225" s="345">
        <f t="shared" si="88"/>
        <v>0</v>
      </c>
      <c r="N225" s="345">
        <f t="shared" si="88"/>
        <v>0</v>
      </c>
      <c r="O225" s="345">
        <f t="shared" si="88"/>
        <v>0</v>
      </c>
      <c r="P225" s="434">
        <f t="shared" si="79"/>
        <v>0</v>
      </c>
      <c r="Q225" s="330"/>
      <c r="R225" s="330"/>
      <c r="S225" s="330"/>
      <c r="T225" s="330"/>
    </row>
    <row r="226" spans="1:20" s="330" customFormat="1">
      <c r="A226" s="354" t="s">
        <v>4</v>
      </c>
      <c r="B226" s="345" t="s">
        <v>33</v>
      </c>
      <c r="C226" s="345">
        <f>C51/12</f>
        <v>729.16666666666663</v>
      </c>
      <c r="D226" s="345">
        <f t="shared" ref="D226:O226" si="89">IF(C168=$A$227,$C$226*IF(C159&gt;0,1,0),0)</f>
        <v>0</v>
      </c>
      <c r="E226" s="345">
        <f t="shared" si="89"/>
        <v>0</v>
      </c>
      <c r="F226" s="345">
        <f t="shared" si="89"/>
        <v>0</v>
      </c>
      <c r="G226" s="345">
        <f t="shared" si="89"/>
        <v>0</v>
      </c>
      <c r="H226" s="345">
        <f t="shared" si="89"/>
        <v>0</v>
      </c>
      <c r="I226" s="345">
        <f t="shared" si="89"/>
        <v>0</v>
      </c>
      <c r="J226" s="345">
        <f t="shared" si="89"/>
        <v>0</v>
      </c>
      <c r="K226" s="345">
        <f t="shared" si="89"/>
        <v>0</v>
      </c>
      <c r="L226" s="345">
        <f t="shared" si="89"/>
        <v>0</v>
      </c>
      <c r="M226" s="345">
        <f t="shared" si="89"/>
        <v>0</v>
      </c>
      <c r="N226" s="345">
        <f t="shared" si="89"/>
        <v>0</v>
      </c>
      <c r="O226" s="345">
        <f t="shared" si="89"/>
        <v>0</v>
      </c>
      <c r="P226" s="434">
        <f t="shared" si="79"/>
        <v>0</v>
      </c>
      <c r="Q226" s="330"/>
      <c r="R226" s="330"/>
      <c r="S226" s="330"/>
      <c r="T226" s="330"/>
    </row>
    <row r="227" spans="1:20" s="330" customFormat="1">
      <c r="A227" s="356" t="s">
        <v>120</v>
      </c>
      <c r="B227" s="345" t="s">
        <v>57</v>
      </c>
      <c r="C227" s="345">
        <f>D51/12</f>
        <v>291.66666666666669</v>
      </c>
      <c r="D227" s="345">
        <f t="shared" ref="D227:O227" si="90">IF(C168=$A$227,$C$227*IF(C160&gt;0,1,0),0)</f>
        <v>0</v>
      </c>
      <c r="E227" s="345">
        <f t="shared" si="90"/>
        <v>0</v>
      </c>
      <c r="F227" s="345">
        <f t="shared" si="90"/>
        <v>0</v>
      </c>
      <c r="G227" s="345">
        <f t="shared" si="90"/>
        <v>0</v>
      </c>
      <c r="H227" s="345">
        <f t="shared" si="90"/>
        <v>0</v>
      </c>
      <c r="I227" s="345">
        <f t="shared" si="90"/>
        <v>0</v>
      </c>
      <c r="J227" s="345">
        <f t="shared" si="90"/>
        <v>0</v>
      </c>
      <c r="K227" s="345">
        <f t="shared" si="90"/>
        <v>0</v>
      </c>
      <c r="L227" s="345">
        <f t="shared" si="90"/>
        <v>0</v>
      </c>
      <c r="M227" s="345">
        <f t="shared" si="90"/>
        <v>0</v>
      </c>
      <c r="N227" s="345">
        <f t="shared" si="90"/>
        <v>0</v>
      </c>
      <c r="O227" s="345">
        <f t="shared" si="90"/>
        <v>0</v>
      </c>
      <c r="P227" s="434">
        <f t="shared" si="79"/>
        <v>0</v>
      </c>
      <c r="Q227" s="330"/>
      <c r="R227" s="330"/>
      <c r="S227" s="330"/>
      <c r="T227" s="330"/>
    </row>
    <row r="228" spans="1:20" s="330" customFormat="1">
      <c r="A228" s="348"/>
      <c r="B228" s="345" t="s">
        <v>54</v>
      </c>
      <c r="C228" s="345">
        <f>F51/12</f>
        <v>35.833333333333336</v>
      </c>
      <c r="D228" s="345">
        <f t="shared" ref="D228:O228" si="91">IF(C168=$A$227,$C$228*IF(C162&gt;0,1,0),0)</f>
        <v>0</v>
      </c>
      <c r="E228" s="345">
        <f t="shared" si="91"/>
        <v>0</v>
      </c>
      <c r="F228" s="345">
        <f t="shared" si="91"/>
        <v>0</v>
      </c>
      <c r="G228" s="345">
        <f t="shared" si="91"/>
        <v>0</v>
      </c>
      <c r="H228" s="345">
        <f t="shared" si="91"/>
        <v>0</v>
      </c>
      <c r="I228" s="345">
        <f t="shared" si="91"/>
        <v>0</v>
      </c>
      <c r="J228" s="345">
        <f t="shared" si="91"/>
        <v>0</v>
      </c>
      <c r="K228" s="345">
        <f t="shared" si="91"/>
        <v>0</v>
      </c>
      <c r="L228" s="345">
        <f t="shared" si="91"/>
        <v>0</v>
      </c>
      <c r="M228" s="345">
        <f t="shared" si="91"/>
        <v>0</v>
      </c>
      <c r="N228" s="345">
        <f t="shared" si="91"/>
        <v>0</v>
      </c>
      <c r="O228" s="345">
        <f t="shared" si="91"/>
        <v>0</v>
      </c>
      <c r="P228" s="434">
        <f t="shared" si="79"/>
        <v>0</v>
      </c>
      <c r="Q228" s="330"/>
      <c r="R228" s="330"/>
      <c r="S228" s="330"/>
      <c r="T228" s="330"/>
    </row>
    <row r="229" spans="1:20" s="330" customFormat="1">
      <c r="A229" s="354" t="s">
        <v>4</v>
      </c>
      <c r="B229" s="345" t="s">
        <v>33</v>
      </c>
      <c r="C229" s="345">
        <f>C55/12</f>
        <v>1093.75</v>
      </c>
      <c r="D229" s="345">
        <f t="shared" ref="D229:O229" si="92">IF(C168=$A$230,$C$229*IF(C159&gt;0,1,0),0)</f>
        <v>0</v>
      </c>
      <c r="E229" s="345">
        <f t="shared" si="92"/>
        <v>0</v>
      </c>
      <c r="F229" s="345">
        <f t="shared" si="92"/>
        <v>0</v>
      </c>
      <c r="G229" s="345">
        <f t="shared" si="92"/>
        <v>0</v>
      </c>
      <c r="H229" s="345">
        <f t="shared" si="92"/>
        <v>0</v>
      </c>
      <c r="I229" s="345">
        <f t="shared" si="92"/>
        <v>0</v>
      </c>
      <c r="J229" s="345">
        <f t="shared" si="92"/>
        <v>0</v>
      </c>
      <c r="K229" s="345">
        <f t="shared" si="92"/>
        <v>0</v>
      </c>
      <c r="L229" s="345">
        <f t="shared" si="92"/>
        <v>0</v>
      </c>
      <c r="M229" s="345">
        <f t="shared" si="92"/>
        <v>0</v>
      </c>
      <c r="N229" s="345">
        <f t="shared" si="92"/>
        <v>0</v>
      </c>
      <c r="O229" s="345">
        <f t="shared" si="92"/>
        <v>0</v>
      </c>
      <c r="P229" s="434">
        <f t="shared" si="79"/>
        <v>0</v>
      </c>
      <c r="Q229" s="330"/>
      <c r="R229" s="330"/>
      <c r="S229" s="330"/>
      <c r="T229" s="330"/>
    </row>
    <row r="230" spans="1:20" s="330" customFormat="1">
      <c r="A230" s="356" t="s">
        <v>342</v>
      </c>
      <c r="B230" s="345" t="s">
        <v>57</v>
      </c>
      <c r="C230" s="345">
        <f>D55/12</f>
        <v>437.5</v>
      </c>
      <c r="D230" s="345">
        <f t="shared" ref="D230:O230" si="93">IF(C168=$A$230,$C$230*IF(C160&gt;0,1,0),0)</f>
        <v>0</v>
      </c>
      <c r="E230" s="345">
        <f t="shared" si="93"/>
        <v>0</v>
      </c>
      <c r="F230" s="345">
        <f t="shared" si="93"/>
        <v>0</v>
      </c>
      <c r="G230" s="345">
        <f t="shared" si="93"/>
        <v>0</v>
      </c>
      <c r="H230" s="345">
        <f t="shared" si="93"/>
        <v>0</v>
      </c>
      <c r="I230" s="345">
        <f t="shared" si="93"/>
        <v>0</v>
      </c>
      <c r="J230" s="345">
        <f t="shared" si="93"/>
        <v>0</v>
      </c>
      <c r="K230" s="345">
        <f t="shared" si="93"/>
        <v>0</v>
      </c>
      <c r="L230" s="345">
        <f t="shared" si="93"/>
        <v>0</v>
      </c>
      <c r="M230" s="345">
        <f t="shared" si="93"/>
        <v>0</v>
      </c>
      <c r="N230" s="345">
        <f t="shared" si="93"/>
        <v>0</v>
      </c>
      <c r="O230" s="345">
        <f t="shared" si="93"/>
        <v>0</v>
      </c>
      <c r="P230" s="434">
        <f t="shared" si="79"/>
        <v>0</v>
      </c>
      <c r="Q230" s="330"/>
      <c r="R230" s="330"/>
      <c r="S230" s="330"/>
      <c r="T230" s="330"/>
    </row>
    <row r="231" spans="1:20" s="330" customFormat="1">
      <c r="A231" s="348"/>
      <c r="B231" s="345" t="s">
        <v>54</v>
      </c>
      <c r="C231" s="345">
        <f>F55/12</f>
        <v>53.75</v>
      </c>
      <c r="D231" s="345">
        <f t="shared" ref="D231:O231" si="94">IF(C168=$A$230,$C$231*IF(C162&gt;0,1,0),0)</f>
        <v>0</v>
      </c>
      <c r="E231" s="345">
        <f t="shared" si="94"/>
        <v>0</v>
      </c>
      <c r="F231" s="345">
        <f t="shared" si="94"/>
        <v>0</v>
      </c>
      <c r="G231" s="345">
        <f t="shared" si="94"/>
        <v>0</v>
      </c>
      <c r="H231" s="345">
        <f t="shared" si="94"/>
        <v>0</v>
      </c>
      <c r="I231" s="345">
        <f t="shared" si="94"/>
        <v>0</v>
      </c>
      <c r="J231" s="345">
        <f t="shared" si="94"/>
        <v>0</v>
      </c>
      <c r="K231" s="345">
        <f t="shared" si="94"/>
        <v>0</v>
      </c>
      <c r="L231" s="345">
        <f t="shared" si="94"/>
        <v>0</v>
      </c>
      <c r="M231" s="345">
        <f t="shared" si="94"/>
        <v>0</v>
      </c>
      <c r="N231" s="345">
        <f t="shared" si="94"/>
        <v>0</v>
      </c>
      <c r="O231" s="345">
        <f t="shared" si="94"/>
        <v>0</v>
      </c>
      <c r="P231" s="434">
        <f t="shared" si="79"/>
        <v>0</v>
      </c>
      <c r="Q231" s="330"/>
      <c r="R231" s="330"/>
      <c r="S231" s="330"/>
      <c r="T231" s="330"/>
    </row>
    <row r="232" spans="1:20" s="330" customFormat="1">
      <c r="A232" s="330"/>
      <c r="B232" s="330"/>
      <c r="C232" s="330"/>
      <c r="D232" s="330"/>
      <c r="E232" s="330"/>
      <c r="F232" s="330"/>
      <c r="G232" s="330"/>
      <c r="H232" s="330"/>
      <c r="I232" s="330"/>
      <c r="J232" s="330"/>
      <c r="K232" s="330"/>
      <c r="L232" s="330"/>
      <c r="M232" s="330"/>
      <c r="N232" s="330"/>
      <c r="O232" s="330"/>
      <c r="P232" s="330"/>
      <c r="Q232" s="330"/>
      <c r="R232" s="330"/>
      <c r="S232" s="330"/>
      <c r="T232" s="330"/>
    </row>
    <row r="233" spans="1:20" s="330" customFormat="1">
      <c r="A233" s="330"/>
      <c r="B233" s="330"/>
      <c r="C233" s="330"/>
      <c r="D233" s="330"/>
      <c r="E233" s="330"/>
      <c r="F233" s="330"/>
      <c r="G233" s="330"/>
      <c r="H233" s="330"/>
      <c r="I233" s="330"/>
      <c r="J233" s="330"/>
      <c r="K233" s="330"/>
      <c r="L233" s="330"/>
      <c r="M233" s="330"/>
      <c r="N233" s="330"/>
      <c r="O233" s="330"/>
      <c r="P233" s="330"/>
      <c r="Q233" s="330"/>
      <c r="R233" s="330"/>
      <c r="S233" s="330"/>
      <c r="T233" s="330"/>
    </row>
    <row r="234" spans="1:20" s="330" customFormat="1" ht="12.75">
      <c r="A234" s="344" t="s">
        <v>200</v>
      </c>
      <c r="B234" s="330" t="str">
        <f>VLOOKUP(試算シート!D30,S235:T239,2,0)</f>
        <v>軽減なし</v>
      </c>
      <c r="C234" s="144"/>
      <c r="D234" s="144"/>
      <c r="E234" s="144"/>
      <c r="F234" s="144"/>
      <c r="G234" s="144"/>
      <c r="H234" s="144"/>
      <c r="I234" s="144"/>
      <c r="J234" s="144"/>
      <c r="K234" s="144"/>
      <c r="L234" s="144"/>
      <c r="M234" s="144"/>
      <c r="N234" s="144"/>
      <c r="O234" s="144"/>
      <c r="P234" s="330"/>
      <c r="Q234" s="330"/>
      <c r="R234" s="330"/>
      <c r="S234" s="330"/>
      <c r="T234" s="330"/>
    </row>
    <row r="235" spans="1:20" s="330" customFormat="1">
      <c r="A235" s="352"/>
      <c r="B235" s="345" t="s">
        <v>123</v>
      </c>
      <c r="C235" s="391" t="s">
        <v>65</v>
      </c>
      <c r="D235" s="345" t="s">
        <v>40</v>
      </c>
      <c r="E235" s="345" t="s">
        <v>19</v>
      </c>
      <c r="F235" s="345" t="s">
        <v>41</v>
      </c>
      <c r="G235" s="345" t="s">
        <v>42</v>
      </c>
      <c r="H235" s="345" t="s">
        <v>44</v>
      </c>
      <c r="I235" s="345" t="s">
        <v>48</v>
      </c>
      <c r="J235" s="345" t="s">
        <v>35</v>
      </c>
      <c r="K235" s="345" t="s">
        <v>47</v>
      </c>
      <c r="L235" s="345" t="s">
        <v>50</v>
      </c>
      <c r="M235" s="345" t="s">
        <v>10</v>
      </c>
      <c r="N235" s="345" t="s">
        <v>316</v>
      </c>
      <c r="O235" s="345" t="s">
        <v>269</v>
      </c>
      <c r="P235" s="345" t="s">
        <v>72</v>
      </c>
      <c r="Q235" s="330"/>
      <c r="R235" s="330"/>
      <c r="S235" s="345"/>
      <c r="T235" s="345" t="s">
        <v>231</v>
      </c>
    </row>
    <row r="236" spans="1:20" s="330" customFormat="1">
      <c r="A236" s="336" t="s">
        <v>16</v>
      </c>
      <c r="B236" s="345" t="s">
        <v>33</v>
      </c>
      <c r="C236" s="345">
        <f>IFERROR(VLOOKUP($B$234,$B$35:$F$37,2,0)/12,0)</f>
        <v>0</v>
      </c>
      <c r="D236" s="345">
        <f t="shared" ref="D236:O236" si="95">$C$236*C159</f>
        <v>0</v>
      </c>
      <c r="E236" s="345">
        <f t="shared" si="95"/>
        <v>0</v>
      </c>
      <c r="F236" s="345">
        <f t="shared" si="95"/>
        <v>0</v>
      </c>
      <c r="G236" s="345">
        <f t="shared" si="95"/>
        <v>0</v>
      </c>
      <c r="H236" s="345">
        <f t="shared" si="95"/>
        <v>0</v>
      </c>
      <c r="I236" s="345">
        <f t="shared" si="95"/>
        <v>0</v>
      </c>
      <c r="J236" s="345">
        <f t="shared" si="95"/>
        <v>0</v>
      </c>
      <c r="K236" s="345">
        <f t="shared" si="95"/>
        <v>0</v>
      </c>
      <c r="L236" s="345">
        <f t="shared" si="95"/>
        <v>0</v>
      </c>
      <c r="M236" s="345">
        <f t="shared" si="95"/>
        <v>0</v>
      </c>
      <c r="N236" s="345">
        <f t="shared" si="95"/>
        <v>0</v>
      </c>
      <c r="O236" s="345">
        <f t="shared" si="95"/>
        <v>0</v>
      </c>
      <c r="P236" s="434">
        <f t="shared" ref="P236:P250" si="96">ROUNDDOWN(SUM(D236:O236),0)</f>
        <v>0</v>
      </c>
      <c r="Q236" s="330"/>
      <c r="R236" s="330"/>
      <c r="S236" s="345">
        <v>0</v>
      </c>
      <c r="T236" s="345" t="s">
        <v>344</v>
      </c>
    </row>
    <row r="237" spans="1:20" s="330" customFormat="1">
      <c r="A237" s="337"/>
      <c r="B237" s="345" t="s">
        <v>57</v>
      </c>
      <c r="C237" s="345">
        <f>IFERROR(VLOOKUP($B$234,$B$35:$F$37,3,0)/12,0)</f>
        <v>0</v>
      </c>
      <c r="D237" s="345">
        <f t="shared" ref="D237:O237" si="97">$C$237*C160</f>
        <v>0</v>
      </c>
      <c r="E237" s="345">
        <f t="shared" si="97"/>
        <v>0</v>
      </c>
      <c r="F237" s="345">
        <f t="shared" si="97"/>
        <v>0</v>
      </c>
      <c r="G237" s="345">
        <f t="shared" si="97"/>
        <v>0</v>
      </c>
      <c r="H237" s="345">
        <f t="shared" si="97"/>
        <v>0</v>
      </c>
      <c r="I237" s="345">
        <f t="shared" si="97"/>
        <v>0</v>
      </c>
      <c r="J237" s="345">
        <f t="shared" si="97"/>
        <v>0</v>
      </c>
      <c r="K237" s="345">
        <f t="shared" si="97"/>
        <v>0</v>
      </c>
      <c r="L237" s="345">
        <f t="shared" si="97"/>
        <v>0</v>
      </c>
      <c r="M237" s="345">
        <f t="shared" si="97"/>
        <v>0</v>
      </c>
      <c r="N237" s="345">
        <f t="shared" si="97"/>
        <v>0</v>
      </c>
      <c r="O237" s="345">
        <f t="shared" si="97"/>
        <v>0</v>
      </c>
      <c r="P237" s="434">
        <f t="shared" si="96"/>
        <v>0</v>
      </c>
      <c r="Q237" s="330"/>
      <c r="R237" s="330"/>
      <c r="S237" s="345">
        <v>7</v>
      </c>
      <c r="T237" s="334" t="s">
        <v>335</v>
      </c>
    </row>
    <row r="238" spans="1:20" s="330" customFormat="1">
      <c r="A238" s="337"/>
      <c r="B238" s="345" t="s">
        <v>28</v>
      </c>
      <c r="C238" s="345">
        <f>IFERROR(VLOOKUP($B$234,$B$35:$F$37,4,0)/12,0)</f>
        <v>0</v>
      </c>
      <c r="D238" s="345">
        <f t="shared" ref="D238:O238" si="98">$C$238*C161</f>
        <v>0</v>
      </c>
      <c r="E238" s="345">
        <f t="shared" si="98"/>
        <v>0</v>
      </c>
      <c r="F238" s="345">
        <f t="shared" si="98"/>
        <v>0</v>
      </c>
      <c r="G238" s="345">
        <f t="shared" si="98"/>
        <v>0</v>
      </c>
      <c r="H238" s="345">
        <f t="shared" si="98"/>
        <v>0</v>
      </c>
      <c r="I238" s="345">
        <f t="shared" si="98"/>
        <v>0</v>
      </c>
      <c r="J238" s="345">
        <f t="shared" si="98"/>
        <v>0</v>
      </c>
      <c r="K238" s="345">
        <f t="shared" si="98"/>
        <v>0</v>
      </c>
      <c r="L238" s="345">
        <f t="shared" si="98"/>
        <v>0</v>
      </c>
      <c r="M238" s="345">
        <f t="shared" si="98"/>
        <v>0</v>
      </c>
      <c r="N238" s="345">
        <f t="shared" si="98"/>
        <v>0</v>
      </c>
      <c r="O238" s="345">
        <f t="shared" si="98"/>
        <v>0</v>
      </c>
      <c r="P238" s="434">
        <f t="shared" si="96"/>
        <v>0</v>
      </c>
      <c r="Q238" s="330"/>
      <c r="R238" s="330"/>
      <c r="S238" s="345">
        <v>5</v>
      </c>
      <c r="T238" s="334" t="s">
        <v>336</v>
      </c>
    </row>
    <row r="239" spans="1:20" s="330" customFormat="1">
      <c r="A239" s="338"/>
      <c r="B239" s="345" t="s">
        <v>3</v>
      </c>
      <c r="C239" s="345">
        <f>IFERROR(VLOOKUP($B$234,$B$35:$F$37,5,0)/12,0)</f>
        <v>0</v>
      </c>
      <c r="D239" s="345">
        <f t="shared" ref="D239:O239" si="99">$C$239*C162</f>
        <v>0</v>
      </c>
      <c r="E239" s="345">
        <f t="shared" si="99"/>
        <v>0</v>
      </c>
      <c r="F239" s="345">
        <f t="shared" si="99"/>
        <v>0</v>
      </c>
      <c r="G239" s="345">
        <f t="shared" si="99"/>
        <v>0</v>
      </c>
      <c r="H239" s="345">
        <f t="shared" si="99"/>
        <v>0</v>
      </c>
      <c r="I239" s="345">
        <f t="shared" si="99"/>
        <v>0</v>
      </c>
      <c r="J239" s="345">
        <f t="shared" si="99"/>
        <v>0</v>
      </c>
      <c r="K239" s="345">
        <f t="shared" si="99"/>
        <v>0</v>
      </c>
      <c r="L239" s="345">
        <f t="shared" si="99"/>
        <v>0</v>
      </c>
      <c r="M239" s="345">
        <f t="shared" si="99"/>
        <v>0</v>
      </c>
      <c r="N239" s="345">
        <f t="shared" si="99"/>
        <v>0</v>
      </c>
      <c r="O239" s="345">
        <f t="shared" si="99"/>
        <v>0</v>
      </c>
      <c r="P239" s="434">
        <f t="shared" si="96"/>
        <v>0</v>
      </c>
      <c r="Q239" s="330"/>
      <c r="R239" s="330"/>
      <c r="S239" s="345">
        <v>2</v>
      </c>
      <c r="T239" s="334" t="s">
        <v>211</v>
      </c>
    </row>
    <row r="240" spans="1:20" s="330" customFormat="1">
      <c r="A240" s="353" t="s">
        <v>324</v>
      </c>
      <c r="B240" s="345" t="s">
        <v>3</v>
      </c>
      <c r="C240" s="345">
        <f>IFERROR(VLOOKUP($B$234,$B$43:$F$45,5,0)/12,0)</f>
        <v>0</v>
      </c>
      <c r="D240" s="345">
        <f t="shared" ref="D240:O240" si="100">$C$240*C164</f>
        <v>0</v>
      </c>
      <c r="E240" s="345">
        <f t="shared" si="100"/>
        <v>0</v>
      </c>
      <c r="F240" s="345">
        <f t="shared" si="100"/>
        <v>0</v>
      </c>
      <c r="G240" s="345">
        <f t="shared" si="100"/>
        <v>0</v>
      </c>
      <c r="H240" s="345">
        <f t="shared" si="100"/>
        <v>0</v>
      </c>
      <c r="I240" s="345">
        <f t="shared" si="100"/>
        <v>0</v>
      </c>
      <c r="J240" s="345">
        <f t="shared" si="100"/>
        <v>0</v>
      </c>
      <c r="K240" s="345">
        <f t="shared" si="100"/>
        <v>0</v>
      </c>
      <c r="L240" s="345">
        <f t="shared" si="100"/>
        <v>0</v>
      </c>
      <c r="M240" s="345">
        <f t="shared" si="100"/>
        <v>0</v>
      </c>
      <c r="N240" s="345">
        <f t="shared" si="100"/>
        <v>0</v>
      </c>
      <c r="O240" s="345">
        <f t="shared" si="100"/>
        <v>0</v>
      </c>
      <c r="P240" s="434">
        <f t="shared" si="96"/>
        <v>0</v>
      </c>
      <c r="Q240" s="330"/>
      <c r="R240" s="330"/>
      <c r="S240" s="330"/>
      <c r="T240" s="330"/>
    </row>
    <row r="241" spans="1:16" s="330" customFormat="1">
      <c r="A241" s="354" t="s">
        <v>4</v>
      </c>
      <c r="B241" s="345" t="s">
        <v>33</v>
      </c>
      <c r="C241" s="345">
        <f>IFERROR(VLOOKUP($B$234,$B$47:$F$49,2,0)/12,0)</f>
        <v>0</v>
      </c>
      <c r="D241" s="345">
        <f t="shared" ref="D241:O241" si="101">IF(C168=$A$243,$C$241*IF(C159&gt;0,1,0),0)</f>
        <v>0</v>
      </c>
      <c r="E241" s="345">
        <f t="shared" si="101"/>
        <v>0</v>
      </c>
      <c r="F241" s="345">
        <f t="shared" si="101"/>
        <v>0</v>
      </c>
      <c r="G241" s="345">
        <f t="shared" si="101"/>
        <v>0</v>
      </c>
      <c r="H241" s="345">
        <f t="shared" si="101"/>
        <v>0</v>
      </c>
      <c r="I241" s="345">
        <f t="shared" si="101"/>
        <v>0</v>
      </c>
      <c r="J241" s="345">
        <f t="shared" si="101"/>
        <v>0</v>
      </c>
      <c r="K241" s="345">
        <f t="shared" si="101"/>
        <v>0</v>
      </c>
      <c r="L241" s="345">
        <f t="shared" si="101"/>
        <v>0</v>
      </c>
      <c r="M241" s="345">
        <f t="shared" si="101"/>
        <v>0</v>
      </c>
      <c r="N241" s="345">
        <f t="shared" si="101"/>
        <v>0</v>
      </c>
      <c r="O241" s="345">
        <f t="shared" si="101"/>
        <v>0</v>
      </c>
      <c r="P241" s="434">
        <f t="shared" si="96"/>
        <v>0</v>
      </c>
    </row>
    <row r="242" spans="1:16" s="330" customFormat="1">
      <c r="A242" s="355"/>
      <c r="B242" s="345" t="s">
        <v>57</v>
      </c>
      <c r="C242" s="345">
        <f>IFERROR(VLOOKUP($B$234,$B$47:$F$49,3,0)/12,0)</f>
        <v>0</v>
      </c>
      <c r="D242" s="345">
        <f t="shared" ref="D242:O242" si="102">IF(C168=$A$243,$C$242*IF(C160&gt;0,1,0),0)</f>
        <v>0</v>
      </c>
      <c r="E242" s="345">
        <f t="shared" si="102"/>
        <v>0</v>
      </c>
      <c r="F242" s="345">
        <f t="shared" si="102"/>
        <v>0</v>
      </c>
      <c r="G242" s="345">
        <f t="shared" si="102"/>
        <v>0</v>
      </c>
      <c r="H242" s="345">
        <f t="shared" si="102"/>
        <v>0</v>
      </c>
      <c r="I242" s="345">
        <f t="shared" si="102"/>
        <v>0</v>
      </c>
      <c r="J242" s="345">
        <f t="shared" si="102"/>
        <v>0</v>
      </c>
      <c r="K242" s="345">
        <f t="shared" si="102"/>
        <v>0</v>
      </c>
      <c r="L242" s="345">
        <f t="shared" si="102"/>
        <v>0</v>
      </c>
      <c r="M242" s="345">
        <f t="shared" si="102"/>
        <v>0</v>
      </c>
      <c r="N242" s="345">
        <f t="shared" si="102"/>
        <v>0</v>
      </c>
      <c r="O242" s="345">
        <f t="shared" si="102"/>
        <v>0</v>
      </c>
      <c r="P242" s="434">
        <f t="shared" si="96"/>
        <v>0</v>
      </c>
    </row>
    <row r="243" spans="1:16" s="330" customFormat="1">
      <c r="A243" s="356" t="s">
        <v>152</v>
      </c>
      <c r="B243" s="345" t="s">
        <v>28</v>
      </c>
      <c r="C243" s="345">
        <f>IFERROR(VLOOKUP($B$234,$B$47:$F$49,4,0)/12,0)</f>
        <v>0</v>
      </c>
      <c r="D243" s="345">
        <f t="shared" ref="D243:O243" si="103">IF(C168=$A$243,$C$243*IF(C161&gt;0,1,0),0)</f>
        <v>0</v>
      </c>
      <c r="E243" s="345">
        <f t="shared" si="103"/>
        <v>0</v>
      </c>
      <c r="F243" s="345">
        <f t="shared" si="103"/>
        <v>0</v>
      </c>
      <c r="G243" s="345">
        <f t="shared" si="103"/>
        <v>0</v>
      </c>
      <c r="H243" s="345">
        <f t="shared" si="103"/>
        <v>0</v>
      </c>
      <c r="I243" s="345">
        <f t="shared" si="103"/>
        <v>0</v>
      </c>
      <c r="J243" s="345">
        <f t="shared" si="103"/>
        <v>0</v>
      </c>
      <c r="K243" s="345">
        <f t="shared" si="103"/>
        <v>0</v>
      </c>
      <c r="L243" s="345">
        <f t="shared" si="103"/>
        <v>0</v>
      </c>
      <c r="M243" s="345">
        <f t="shared" si="103"/>
        <v>0</v>
      </c>
      <c r="N243" s="345">
        <f t="shared" si="103"/>
        <v>0</v>
      </c>
      <c r="O243" s="345">
        <f t="shared" si="103"/>
        <v>0</v>
      </c>
      <c r="P243" s="434">
        <f t="shared" si="96"/>
        <v>0</v>
      </c>
    </row>
    <row r="244" spans="1:16" s="330" customFormat="1">
      <c r="A244" s="357"/>
      <c r="B244" s="345" t="s">
        <v>54</v>
      </c>
      <c r="C244" s="345">
        <f>IFERROR(VLOOKUP($B$234,$B$47:$F$49,5,0)/12,0)</f>
        <v>0</v>
      </c>
      <c r="D244" s="345">
        <f t="shared" ref="D244:O244" si="104">IF(C168=$A$243,$C$244*IF(C162&gt;0,1,0),0)</f>
        <v>0</v>
      </c>
      <c r="E244" s="345">
        <f t="shared" si="104"/>
        <v>0</v>
      </c>
      <c r="F244" s="345">
        <f t="shared" si="104"/>
        <v>0</v>
      </c>
      <c r="G244" s="345">
        <f t="shared" si="104"/>
        <v>0</v>
      </c>
      <c r="H244" s="345">
        <f t="shared" si="104"/>
        <v>0</v>
      </c>
      <c r="I244" s="345">
        <f t="shared" si="104"/>
        <v>0</v>
      </c>
      <c r="J244" s="345">
        <f t="shared" si="104"/>
        <v>0</v>
      </c>
      <c r="K244" s="345">
        <f t="shared" si="104"/>
        <v>0</v>
      </c>
      <c r="L244" s="345">
        <f t="shared" si="104"/>
        <v>0</v>
      </c>
      <c r="M244" s="345">
        <f t="shared" si="104"/>
        <v>0</v>
      </c>
      <c r="N244" s="345">
        <f t="shared" si="104"/>
        <v>0</v>
      </c>
      <c r="O244" s="345">
        <f t="shared" si="104"/>
        <v>0</v>
      </c>
      <c r="P244" s="434">
        <f t="shared" si="96"/>
        <v>0</v>
      </c>
    </row>
    <row r="245" spans="1:16" s="330" customFormat="1">
      <c r="A245" s="354" t="s">
        <v>4</v>
      </c>
      <c r="B245" s="345" t="s">
        <v>33</v>
      </c>
      <c r="C245" s="345">
        <f>IFERROR(VLOOKUP($B$234,$B$52:$F$54,2,0)/12,0)</f>
        <v>0</v>
      </c>
      <c r="D245" s="345">
        <f t="shared" ref="D245:O245" si="105">IF(C168=$A$246,$C$245*IF(C159&gt;0,1,0),0)</f>
        <v>0</v>
      </c>
      <c r="E245" s="345">
        <f t="shared" si="105"/>
        <v>0</v>
      </c>
      <c r="F245" s="345">
        <f t="shared" si="105"/>
        <v>0</v>
      </c>
      <c r="G245" s="345">
        <f t="shared" si="105"/>
        <v>0</v>
      </c>
      <c r="H245" s="345">
        <f t="shared" si="105"/>
        <v>0</v>
      </c>
      <c r="I245" s="345">
        <f t="shared" si="105"/>
        <v>0</v>
      </c>
      <c r="J245" s="345">
        <f t="shared" si="105"/>
        <v>0</v>
      </c>
      <c r="K245" s="345">
        <f t="shared" si="105"/>
        <v>0</v>
      </c>
      <c r="L245" s="345">
        <f t="shared" si="105"/>
        <v>0</v>
      </c>
      <c r="M245" s="345">
        <f t="shared" si="105"/>
        <v>0</v>
      </c>
      <c r="N245" s="345">
        <f t="shared" si="105"/>
        <v>0</v>
      </c>
      <c r="O245" s="345">
        <f t="shared" si="105"/>
        <v>0</v>
      </c>
      <c r="P245" s="434">
        <f t="shared" si="96"/>
        <v>0</v>
      </c>
    </row>
    <row r="246" spans="1:16" s="330" customFormat="1">
      <c r="A246" s="356" t="s">
        <v>120</v>
      </c>
      <c r="B246" s="345" t="s">
        <v>57</v>
      </c>
      <c r="C246" s="345">
        <f>IFERROR(VLOOKUP($B$234,$B$52:$F$54,3,0)/12,0)</f>
        <v>0</v>
      </c>
      <c r="D246" s="345">
        <f t="shared" ref="D246:O246" si="106">IF(C168=$A$246,$C$246*IF(C160&gt;0,1,0),0)</f>
        <v>0</v>
      </c>
      <c r="E246" s="345">
        <f t="shared" si="106"/>
        <v>0</v>
      </c>
      <c r="F246" s="345">
        <f t="shared" si="106"/>
        <v>0</v>
      </c>
      <c r="G246" s="345">
        <f t="shared" si="106"/>
        <v>0</v>
      </c>
      <c r="H246" s="345">
        <f t="shared" si="106"/>
        <v>0</v>
      </c>
      <c r="I246" s="345">
        <f t="shared" si="106"/>
        <v>0</v>
      </c>
      <c r="J246" s="345">
        <f t="shared" si="106"/>
        <v>0</v>
      </c>
      <c r="K246" s="345">
        <f t="shared" si="106"/>
        <v>0</v>
      </c>
      <c r="L246" s="345">
        <f t="shared" si="106"/>
        <v>0</v>
      </c>
      <c r="M246" s="345">
        <f t="shared" si="106"/>
        <v>0</v>
      </c>
      <c r="N246" s="345">
        <f t="shared" si="106"/>
        <v>0</v>
      </c>
      <c r="O246" s="345">
        <f t="shared" si="106"/>
        <v>0</v>
      </c>
      <c r="P246" s="434">
        <f t="shared" si="96"/>
        <v>0</v>
      </c>
    </row>
    <row r="247" spans="1:16" s="330" customFormat="1">
      <c r="A247" s="348"/>
      <c r="B247" s="345" t="s">
        <v>54</v>
      </c>
      <c r="C247" s="345">
        <f>IFERROR(VLOOKUP($B$234,$B$52:$F$54,5,0)/12,0)</f>
        <v>0</v>
      </c>
      <c r="D247" s="345">
        <f t="shared" ref="D247:O247" si="107">IF(C168=$A$246,$C$247*IF(C162&gt;0,1,0),0)</f>
        <v>0</v>
      </c>
      <c r="E247" s="345">
        <f t="shared" si="107"/>
        <v>0</v>
      </c>
      <c r="F247" s="345">
        <f t="shared" si="107"/>
        <v>0</v>
      </c>
      <c r="G247" s="345">
        <f t="shared" si="107"/>
        <v>0</v>
      </c>
      <c r="H247" s="345">
        <f t="shared" si="107"/>
        <v>0</v>
      </c>
      <c r="I247" s="345">
        <f t="shared" si="107"/>
        <v>0</v>
      </c>
      <c r="J247" s="345">
        <f t="shared" si="107"/>
        <v>0</v>
      </c>
      <c r="K247" s="345">
        <f t="shared" si="107"/>
        <v>0</v>
      </c>
      <c r="L247" s="345">
        <f t="shared" si="107"/>
        <v>0</v>
      </c>
      <c r="M247" s="345">
        <f t="shared" si="107"/>
        <v>0</v>
      </c>
      <c r="N247" s="345">
        <f t="shared" si="107"/>
        <v>0</v>
      </c>
      <c r="O247" s="345">
        <f t="shared" si="107"/>
        <v>0</v>
      </c>
      <c r="P247" s="434">
        <f t="shared" si="96"/>
        <v>0</v>
      </c>
    </row>
    <row r="248" spans="1:16" s="330" customFormat="1">
      <c r="A248" s="354" t="s">
        <v>4</v>
      </c>
      <c r="B248" s="345" t="s">
        <v>33</v>
      </c>
      <c r="C248" s="345">
        <f>IFERROR(VLOOKUP($B$234,$B$56:$F$58,2,0)/12,0)</f>
        <v>0</v>
      </c>
      <c r="D248" s="345">
        <f t="shared" ref="D248:O248" si="108">IF(C168=$A$249,$C$248*IF(C159&gt;0,1,0),0)</f>
        <v>0</v>
      </c>
      <c r="E248" s="345">
        <f t="shared" si="108"/>
        <v>0</v>
      </c>
      <c r="F248" s="345">
        <f t="shared" si="108"/>
        <v>0</v>
      </c>
      <c r="G248" s="345">
        <f t="shared" si="108"/>
        <v>0</v>
      </c>
      <c r="H248" s="345">
        <f t="shared" si="108"/>
        <v>0</v>
      </c>
      <c r="I248" s="345">
        <f t="shared" si="108"/>
        <v>0</v>
      </c>
      <c r="J248" s="345">
        <f t="shared" si="108"/>
        <v>0</v>
      </c>
      <c r="K248" s="345">
        <f t="shared" si="108"/>
        <v>0</v>
      </c>
      <c r="L248" s="345">
        <f t="shared" si="108"/>
        <v>0</v>
      </c>
      <c r="M248" s="345">
        <f t="shared" si="108"/>
        <v>0</v>
      </c>
      <c r="N248" s="345">
        <f t="shared" si="108"/>
        <v>0</v>
      </c>
      <c r="O248" s="345">
        <f t="shared" si="108"/>
        <v>0</v>
      </c>
      <c r="P248" s="434">
        <f t="shared" si="96"/>
        <v>0</v>
      </c>
    </row>
    <row r="249" spans="1:16" s="330" customFormat="1">
      <c r="A249" s="356" t="s">
        <v>342</v>
      </c>
      <c r="B249" s="345" t="s">
        <v>57</v>
      </c>
      <c r="C249" s="345">
        <f>IFERROR(VLOOKUP($B$234,$B$56:$F$58,3,0)/12,0)</f>
        <v>0</v>
      </c>
      <c r="D249" s="345">
        <f t="shared" ref="D249:O249" si="109">IF(C168=$A$249,$C$249*IF(C160&gt;0,1,0),0)</f>
        <v>0</v>
      </c>
      <c r="E249" s="345">
        <f t="shared" si="109"/>
        <v>0</v>
      </c>
      <c r="F249" s="345">
        <f t="shared" si="109"/>
        <v>0</v>
      </c>
      <c r="G249" s="345">
        <f t="shared" si="109"/>
        <v>0</v>
      </c>
      <c r="H249" s="345">
        <f t="shared" si="109"/>
        <v>0</v>
      </c>
      <c r="I249" s="345">
        <f t="shared" si="109"/>
        <v>0</v>
      </c>
      <c r="J249" s="345">
        <f t="shared" si="109"/>
        <v>0</v>
      </c>
      <c r="K249" s="345">
        <f t="shared" si="109"/>
        <v>0</v>
      </c>
      <c r="L249" s="345">
        <f t="shared" si="109"/>
        <v>0</v>
      </c>
      <c r="M249" s="345">
        <f t="shared" si="109"/>
        <v>0</v>
      </c>
      <c r="N249" s="345">
        <f t="shared" si="109"/>
        <v>0</v>
      </c>
      <c r="O249" s="345">
        <f t="shared" si="109"/>
        <v>0</v>
      </c>
      <c r="P249" s="434">
        <f t="shared" si="96"/>
        <v>0</v>
      </c>
    </row>
    <row r="250" spans="1:16" s="330" customFormat="1">
      <c r="A250" s="348"/>
      <c r="B250" s="345" t="s">
        <v>54</v>
      </c>
      <c r="C250" s="345">
        <f>IFERROR(VLOOKUP($B$234,$B$56:$F$58,5,0)/12,0)</f>
        <v>0</v>
      </c>
      <c r="D250" s="345">
        <f t="shared" ref="D250:O250" si="110">IF(C168=$A$249,$C$250*IF(C162&gt;0,1,0),0)</f>
        <v>0</v>
      </c>
      <c r="E250" s="345">
        <f t="shared" si="110"/>
        <v>0</v>
      </c>
      <c r="F250" s="345">
        <f t="shared" si="110"/>
        <v>0</v>
      </c>
      <c r="G250" s="345">
        <f t="shared" si="110"/>
        <v>0</v>
      </c>
      <c r="H250" s="345">
        <f t="shared" si="110"/>
        <v>0</v>
      </c>
      <c r="I250" s="345">
        <f t="shared" si="110"/>
        <v>0</v>
      </c>
      <c r="J250" s="345">
        <f t="shared" si="110"/>
        <v>0</v>
      </c>
      <c r="K250" s="345">
        <f t="shared" si="110"/>
        <v>0</v>
      </c>
      <c r="L250" s="345">
        <f t="shared" si="110"/>
        <v>0</v>
      </c>
      <c r="M250" s="345">
        <f t="shared" si="110"/>
        <v>0</v>
      </c>
      <c r="N250" s="345">
        <f t="shared" si="110"/>
        <v>0</v>
      </c>
      <c r="O250" s="345">
        <f t="shared" si="110"/>
        <v>0</v>
      </c>
      <c r="P250" s="434">
        <f t="shared" si="96"/>
        <v>0</v>
      </c>
    </row>
    <row r="251" spans="1:16" s="330" customFormat="1">
      <c r="A251" s="358"/>
      <c r="B251" s="330"/>
      <c r="C251" s="393"/>
      <c r="D251" s="330"/>
      <c r="E251" s="330"/>
      <c r="F251" s="330"/>
      <c r="G251" s="330"/>
      <c r="H251" s="330"/>
      <c r="I251" s="330"/>
      <c r="J251" s="330"/>
      <c r="K251" s="330"/>
      <c r="L251" s="330"/>
      <c r="M251" s="330"/>
      <c r="N251" s="330"/>
      <c r="O251" s="330"/>
      <c r="P251" s="396"/>
    </row>
    <row r="252" spans="1:16" s="330" customFormat="1">
      <c r="A252" s="358"/>
      <c r="B252" s="330"/>
      <c r="C252" s="393"/>
      <c r="D252" s="330"/>
      <c r="E252" s="330"/>
      <c r="F252" s="330"/>
      <c r="G252" s="330"/>
      <c r="H252" s="330"/>
      <c r="I252" s="330"/>
      <c r="J252" s="330"/>
      <c r="K252" s="330"/>
      <c r="L252" s="330"/>
      <c r="M252" s="330"/>
      <c r="N252" s="330"/>
      <c r="O252" s="330"/>
      <c r="P252" s="396"/>
    </row>
    <row r="253" spans="1:16" s="330" customFormat="1">
      <c r="A253" s="344" t="s">
        <v>345</v>
      </c>
      <c r="B253" s="330" t="str">
        <f>B234</f>
        <v>軽減なし</v>
      </c>
      <c r="C253" s="330"/>
      <c r="D253" s="330"/>
      <c r="E253" s="330"/>
      <c r="F253" s="330"/>
      <c r="G253" s="330"/>
      <c r="H253" s="330"/>
      <c r="I253" s="330"/>
      <c r="J253" s="330"/>
      <c r="K253" s="330"/>
      <c r="L253" s="330"/>
      <c r="M253" s="330"/>
      <c r="N253" s="330"/>
      <c r="O253" s="330"/>
      <c r="P253" s="330"/>
    </row>
    <row r="254" spans="1:16" s="330" customFormat="1">
      <c r="A254" s="352"/>
      <c r="B254" s="345" t="s">
        <v>123</v>
      </c>
      <c r="C254" s="345" t="s">
        <v>65</v>
      </c>
      <c r="D254" s="345" t="s">
        <v>40</v>
      </c>
      <c r="E254" s="345" t="s">
        <v>19</v>
      </c>
      <c r="F254" s="345" t="s">
        <v>41</v>
      </c>
      <c r="G254" s="345" t="s">
        <v>42</v>
      </c>
      <c r="H254" s="345" t="s">
        <v>44</v>
      </c>
      <c r="I254" s="345" t="s">
        <v>48</v>
      </c>
      <c r="J254" s="345" t="s">
        <v>35</v>
      </c>
      <c r="K254" s="345" t="s">
        <v>47</v>
      </c>
      <c r="L254" s="345" t="s">
        <v>50</v>
      </c>
      <c r="M254" s="345" t="s">
        <v>77</v>
      </c>
      <c r="N254" s="345" t="s">
        <v>78</v>
      </c>
      <c r="O254" s="345" t="s">
        <v>79</v>
      </c>
      <c r="P254" s="345" t="s">
        <v>72</v>
      </c>
    </row>
    <row r="255" spans="1:16" s="330" customFormat="1">
      <c r="A255" s="335" t="s">
        <v>346</v>
      </c>
      <c r="B255" s="345" t="s">
        <v>33</v>
      </c>
      <c r="C255" s="345">
        <f>IF(B253="軽減なし",C38,VLOOKUP($B$253,$B$39:$F$41,2,0))/12</f>
        <v>1041.6666666666667</v>
      </c>
      <c r="D255" s="345">
        <f t="shared" ref="D255:O255" si="111">$C$255*C165</f>
        <v>0</v>
      </c>
      <c r="E255" s="345">
        <f t="shared" si="111"/>
        <v>0</v>
      </c>
      <c r="F255" s="345">
        <f t="shared" si="111"/>
        <v>0</v>
      </c>
      <c r="G255" s="345">
        <f t="shared" si="111"/>
        <v>0</v>
      </c>
      <c r="H255" s="345">
        <f t="shared" si="111"/>
        <v>0</v>
      </c>
      <c r="I255" s="345">
        <f t="shared" si="111"/>
        <v>0</v>
      </c>
      <c r="J255" s="345">
        <f t="shared" si="111"/>
        <v>0</v>
      </c>
      <c r="K255" s="345">
        <f t="shared" si="111"/>
        <v>0</v>
      </c>
      <c r="L255" s="345">
        <f t="shared" si="111"/>
        <v>0</v>
      </c>
      <c r="M255" s="345">
        <f t="shared" si="111"/>
        <v>0</v>
      </c>
      <c r="N255" s="345">
        <f t="shared" si="111"/>
        <v>0</v>
      </c>
      <c r="O255" s="345">
        <f t="shared" si="111"/>
        <v>0</v>
      </c>
      <c r="P255" s="434">
        <f>ROUNDDOWN(SUM(D255:O255),0)</f>
        <v>0</v>
      </c>
    </row>
    <row r="256" spans="1:16" s="330" customFormat="1">
      <c r="A256" s="335"/>
      <c r="B256" s="345" t="s">
        <v>57</v>
      </c>
      <c r="C256" s="345">
        <f>IF(B253="軽減なし",D38,VLOOKUP($B$253,$B$39:$F$41,3,0))/12</f>
        <v>341.66666666666669</v>
      </c>
      <c r="D256" s="345">
        <f t="shared" ref="D256:O256" si="112">$C$256*C165</f>
        <v>0</v>
      </c>
      <c r="E256" s="345">
        <f t="shared" si="112"/>
        <v>0</v>
      </c>
      <c r="F256" s="345">
        <f t="shared" si="112"/>
        <v>0</v>
      </c>
      <c r="G256" s="345">
        <f t="shared" si="112"/>
        <v>0</v>
      </c>
      <c r="H256" s="345">
        <f t="shared" si="112"/>
        <v>0</v>
      </c>
      <c r="I256" s="345">
        <f t="shared" si="112"/>
        <v>0</v>
      </c>
      <c r="J256" s="345">
        <f t="shared" si="112"/>
        <v>0</v>
      </c>
      <c r="K256" s="345">
        <f t="shared" si="112"/>
        <v>0</v>
      </c>
      <c r="L256" s="345">
        <f t="shared" si="112"/>
        <v>0</v>
      </c>
      <c r="M256" s="345">
        <f t="shared" si="112"/>
        <v>0</v>
      </c>
      <c r="N256" s="345">
        <f t="shared" si="112"/>
        <v>0</v>
      </c>
      <c r="O256" s="345">
        <f t="shared" si="112"/>
        <v>0</v>
      </c>
      <c r="P256" s="434">
        <f>ROUNDDOWN(SUM(D256:O256),0)</f>
        <v>0</v>
      </c>
    </row>
    <row r="257" spans="1:16" s="330" customFormat="1">
      <c r="A257" s="335"/>
      <c r="B257" s="345" t="s">
        <v>3</v>
      </c>
      <c r="C257" s="345">
        <f>IF(B253="軽減なし",F38,VLOOKUP($B$253,$B$39:$F$41,5,0))/12</f>
        <v>55.833333333333336</v>
      </c>
      <c r="D257" s="345">
        <f t="shared" ref="D257:O257" si="113">$C$257*C165</f>
        <v>0</v>
      </c>
      <c r="E257" s="345">
        <f t="shared" si="113"/>
        <v>0</v>
      </c>
      <c r="F257" s="345">
        <f t="shared" si="113"/>
        <v>0</v>
      </c>
      <c r="G257" s="345">
        <f t="shared" si="113"/>
        <v>0</v>
      </c>
      <c r="H257" s="345">
        <f t="shared" si="113"/>
        <v>0</v>
      </c>
      <c r="I257" s="345">
        <f t="shared" si="113"/>
        <v>0</v>
      </c>
      <c r="J257" s="345">
        <f t="shared" si="113"/>
        <v>0</v>
      </c>
      <c r="K257" s="345">
        <f t="shared" si="113"/>
        <v>0</v>
      </c>
      <c r="L257" s="345">
        <f t="shared" si="113"/>
        <v>0</v>
      </c>
      <c r="M257" s="345">
        <f t="shared" si="113"/>
        <v>0</v>
      </c>
      <c r="N257" s="345">
        <f t="shared" si="113"/>
        <v>0</v>
      </c>
      <c r="O257" s="345">
        <f t="shared" si="113"/>
        <v>0</v>
      </c>
      <c r="P257" s="434">
        <f>ROUNDDOWN(SUM(D257:O257),0)</f>
        <v>0</v>
      </c>
    </row>
    <row r="258" spans="1:16" s="330" customFormat="1">
      <c r="A258" s="358"/>
      <c r="B258" s="330"/>
      <c r="C258" s="330"/>
      <c r="D258" s="330"/>
      <c r="E258" s="330"/>
      <c r="F258" s="330"/>
      <c r="G258" s="330"/>
      <c r="H258" s="330"/>
      <c r="I258" s="330"/>
      <c r="J258" s="330"/>
      <c r="K258" s="330"/>
      <c r="L258" s="330"/>
      <c r="M258" s="330"/>
      <c r="N258" s="330"/>
      <c r="O258" s="330"/>
      <c r="P258" s="396"/>
    </row>
    <row r="259" spans="1:16" s="330" customFormat="1">
      <c r="A259" s="358"/>
      <c r="B259" s="330"/>
      <c r="C259" s="330"/>
      <c r="D259" s="330"/>
      <c r="E259" s="330"/>
      <c r="F259" s="330"/>
      <c r="G259" s="330"/>
      <c r="H259" s="330"/>
      <c r="I259" s="330"/>
      <c r="J259" s="330"/>
      <c r="K259" s="330"/>
      <c r="L259" s="330"/>
      <c r="M259" s="330"/>
      <c r="N259" s="330"/>
      <c r="O259" s="330"/>
      <c r="P259" s="396"/>
    </row>
    <row r="260" spans="1:16" s="330" customFormat="1">
      <c r="A260" s="344" t="s">
        <v>209</v>
      </c>
      <c r="B260" s="330"/>
      <c r="C260" s="330"/>
      <c r="D260" s="330"/>
      <c r="E260" s="330"/>
      <c r="F260" s="330"/>
      <c r="G260" s="330"/>
      <c r="H260" s="330"/>
      <c r="I260" s="330"/>
      <c r="J260" s="330"/>
      <c r="K260" s="330"/>
      <c r="L260" s="330"/>
      <c r="M260" s="330"/>
      <c r="N260" s="330"/>
      <c r="O260" s="330"/>
      <c r="P260" s="330"/>
    </row>
    <row r="261" spans="1:16" s="330" customFormat="1">
      <c r="A261" s="352"/>
      <c r="B261" s="345" t="s">
        <v>123</v>
      </c>
      <c r="C261" s="345" t="s">
        <v>65</v>
      </c>
      <c r="D261" s="345" t="s">
        <v>40</v>
      </c>
      <c r="E261" s="345" t="s">
        <v>19</v>
      </c>
      <c r="F261" s="345" t="s">
        <v>41</v>
      </c>
      <c r="G261" s="345" t="s">
        <v>42</v>
      </c>
      <c r="H261" s="345" t="s">
        <v>44</v>
      </c>
      <c r="I261" s="345" t="s">
        <v>48</v>
      </c>
      <c r="J261" s="345" t="s">
        <v>35</v>
      </c>
      <c r="K261" s="345" t="s">
        <v>47</v>
      </c>
      <c r="L261" s="345" t="s">
        <v>50</v>
      </c>
      <c r="M261" s="345" t="s">
        <v>77</v>
      </c>
      <c r="N261" s="345" t="s">
        <v>78</v>
      </c>
      <c r="O261" s="345" t="s">
        <v>79</v>
      </c>
      <c r="P261" s="345" t="s">
        <v>72</v>
      </c>
    </row>
    <row r="262" spans="1:16" s="330" customFormat="1">
      <c r="A262" s="335" t="s">
        <v>16</v>
      </c>
      <c r="B262" s="345" t="s">
        <v>220</v>
      </c>
      <c r="C262" s="345">
        <f>C220-C239</f>
        <v>111.66666666666667</v>
      </c>
      <c r="D262" s="345">
        <f t="shared" ref="D262:O262" si="114">$C$262*(C163-C165)</f>
        <v>0</v>
      </c>
      <c r="E262" s="345">
        <f t="shared" si="114"/>
        <v>0</v>
      </c>
      <c r="F262" s="345">
        <f t="shared" si="114"/>
        <v>0</v>
      </c>
      <c r="G262" s="345">
        <f t="shared" si="114"/>
        <v>0</v>
      </c>
      <c r="H262" s="345">
        <f t="shared" si="114"/>
        <v>0</v>
      </c>
      <c r="I262" s="345">
        <f t="shared" si="114"/>
        <v>0</v>
      </c>
      <c r="J262" s="345">
        <f t="shared" si="114"/>
        <v>0</v>
      </c>
      <c r="K262" s="345">
        <f t="shared" si="114"/>
        <v>0</v>
      </c>
      <c r="L262" s="345">
        <f t="shared" si="114"/>
        <v>0</v>
      </c>
      <c r="M262" s="345">
        <f t="shared" si="114"/>
        <v>0</v>
      </c>
      <c r="N262" s="345">
        <f t="shared" si="114"/>
        <v>0</v>
      </c>
      <c r="O262" s="345">
        <f t="shared" si="114"/>
        <v>0</v>
      </c>
      <c r="P262" s="434">
        <f>ROUNDDOWN(SUM(D262:O262),0)</f>
        <v>0</v>
      </c>
    </row>
    <row r="263" spans="1:16" s="330" customFormat="1">
      <c r="A263" s="335"/>
      <c r="B263" s="345" t="s">
        <v>347</v>
      </c>
      <c r="C263" s="345">
        <f>C220-C239-C257</f>
        <v>55.833333333333336</v>
      </c>
      <c r="D263" s="345">
        <f t="shared" ref="D263:O263" si="115">$C$263*C165</f>
        <v>0</v>
      </c>
      <c r="E263" s="345">
        <f t="shared" si="115"/>
        <v>0</v>
      </c>
      <c r="F263" s="345">
        <f t="shared" si="115"/>
        <v>0</v>
      </c>
      <c r="G263" s="345">
        <f t="shared" si="115"/>
        <v>0</v>
      </c>
      <c r="H263" s="345">
        <f t="shared" si="115"/>
        <v>0</v>
      </c>
      <c r="I263" s="345">
        <f t="shared" si="115"/>
        <v>0</v>
      </c>
      <c r="J263" s="345">
        <f t="shared" si="115"/>
        <v>0</v>
      </c>
      <c r="K263" s="345">
        <f t="shared" si="115"/>
        <v>0</v>
      </c>
      <c r="L263" s="345">
        <f t="shared" si="115"/>
        <v>0</v>
      </c>
      <c r="M263" s="345">
        <f t="shared" si="115"/>
        <v>0</v>
      </c>
      <c r="N263" s="345">
        <f t="shared" si="115"/>
        <v>0</v>
      </c>
      <c r="O263" s="345">
        <f t="shared" si="115"/>
        <v>0</v>
      </c>
      <c r="P263" s="434">
        <f>ROUNDDOWN(SUM(D263:O263),0)</f>
        <v>0</v>
      </c>
    </row>
    <row r="264" spans="1:16" s="330" customFormat="1">
      <c r="A264" s="358"/>
      <c r="B264" s="330"/>
      <c r="C264" s="330"/>
      <c r="D264" s="330"/>
      <c r="E264" s="330"/>
      <c r="F264" s="330"/>
      <c r="G264" s="330"/>
      <c r="H264" s="330"/>
      <c r="I264" s="330"/>
      <c r="J264" s="330"/>
      <c r="K264" s="330"/>
      <c r="L264" s="330"/>
      <c r="M264" s="330"/>
      <c r="N264" s="330"/>
      <c r="O264" s="330"/>
      <c r="P264" s="396"/>
    </row>
    <row r="265" spans="1:16" s="330" customFormat="1">
      <c r="A265" s="358"/>
      <c r="B265" s="330"/>
      <c r="C265" s="394"/>
      <c r="D265" s="330"/>
      <c r="E265" s="330"/>
      <c r="F265" s="330"/>
      <c r="G265" s="330"/>
      <c r="H265" s="330"/>
      <c r="I265" s="330"/>
      <c r="J265" s="330"/>
      <c r="K265" s="330"/>
      <c r="L265" s="330"/>
      <c r="M265" s="330"/>
      <c r="N265" s="330"/>
      <c r="O265" s="330"/>
      <c r="P265" s="396"/>
    </row>
    <row r="266" spans="1:16" s="330" customFormat="1">
      <c r="A266" s="359" t="s">
        <v>348</v>
      </c>
      <c r="B266" s="330"/>
      <c r="C266" s="394"/>
      <c r="D266" s="330"/>
      <c r="E266" s="330"/>
      <c r="F266" s="330"/>
      <c r="G266" s="330"/>
      <c r="H266" s="330"/>
      <c r="I266" s="330"/>
      <c r="J266" s="330"/>
      <c r="K266" s="330"/>
      <c r="L266" s="330"/>
      <c r="M266" s="330"/>
      <c r="N266" s="330"/>
      <c r="O266" s="330"/>
      <c r="P266" s="396"/>
    </row>
    <row r="267" spans="1:16" s="330" customFormat="1">
      <c r="A267" s="352"/>
      <c r="B267" s="345" t="s">
        <v>123</v>
      </c>
      <c r="C267" s="345" t="s">
        <v>65</v>
      </c>
      <c r="D267" s="345" t="s">
        <v>40</v>
      </c>
      <c r="E267" s="345" t="s">
        <v>19</v>
      </c>
      <c r="F267" s="345" t="s">
        <v>41</v>
      </c>
      <c r="G267" s="345" t="s">
        <v>42</v>
      </c>
      <c r="H267" s="345" t="s">
        <v>44</v>
      </c>
      <c r="I267" s="345" t="s">
        <v>48</v>
      </c>
      <c r="J267" s="345" t="s">
        <v>35</v>
      </c>
      <c r="K267" s="345" t="s">
        <v>47</v>
      </c>
      <c r="L267" s="345" t="s">
        <v>50</v>
      </c>
      <c r="M267" s="345" t="s">
        <v>77</v>
      </c>
      <c r="N267" s="345" t="s">
        <v>78</v>
      </c>
      <c r="O267" s="345" t="s">
        <v>79</v>
      </c>
      <c r="P267" s="345" t="s">
        <v>72</v>
      </c>
    </row>
    <row r="268" spans="1:16" s="330" customFormat="1">
      <c r="A268" s="335" t="s">
        <v>266</v>
      </c>
      <c r="B268" s="345" t="s">
        <v>33</v>
      </c>
      <c r="C268" s="392"/>
      <c r="D268" s="345">
        <f t="shared" ref="D268:O269" si="116">D213+D217+D222+D226+D229-D236-D241-D245-D248-D255</f>
        <v>0</v>
      </c>
      <c r="E268" s="345">
        <f t="shared" si="116"/>
        <v>0</v>
      </c>
      <c r="F268" s="345">
        <f t="shared" si="116"/>
        <v>0</v>
      </c>
      <c r="G268" s="345">
        <f t="shared" si="116"/>
        <v>0</v>
      </c>
      <c r="H268" s="345">
        <f t="shared" si="116"/>
        <v>0</v>
      </c>
      <c r="I268" s="345">
        <f t="shared" si="116"/>
        <v>0</v>
      </c>
      <c r="J268" s="345">
        <f t="shared" si="116"/>
        <v>0</v>
      </c>
      <c r="K268" s="345">
        <f t="shared" si="116"/>
        <v>0</v>
      </c>
      <c r="L268" s="345">
        <f t="shared" si="116"/>
        <v>0</v>
      </c>
      <c r="M268" s="345">
        <f t="shared" si="116"/>
        <v>0</v>
      </c>
      <c r="N268" s="345">
        <f t="shared" si="116"/>
        <v>0</v>
      </c>
      <c r="O268" s="345">
        <f t="shared" si="116"/>
        <v>0</v>
      </c>
      <c r="P268" s="434">
        <f>ROUNDDOWN(SUM(D268:O268),0)</f>
        <v>0</v>
      </c>
    </row>
    <row r="269" spans="1:16" s="330" customFormat="1">
      <c r="A269" s="335"/>
      <c r="B269" s="345" t="s">
        <v>57</v>
      </c>
      <c r="C269" s="392"/>
      <c r="D269" s="345">
        <f t="shared" si="116"/>
        <v>0</v>
      </c>
      <c r="E269" s="345">
        <f t="shared" si="116"/>
        <v>0</v>
      </c>
      <c r="F269" s="345">
        <f t="shared" si="116"/>
        <v>0</v>
      </c>
      <c r="G269" s="345">
        <f t="shared" si="116"/>
        <v>0</v>
      </c>
      <c r="H269" s="345">
        <f t="shared" si="116"/>
        <v>0</v>
      </c>
      <c r="I269" s="345">
        <f t="shared" si="116"/>
        <v>0</v>
      </c>
      <c r="J269" s="345">
        <f t="shared" si="116"/>
        <v>0</v>
      </c>
      <c r="K269" s="345">
        <f t="shared" si="116"/>
        <v>0</v>
      </c>
      <c r="L269" s="345">
        <f t="shared" si="116"/>
        <v>0</v>
      </c>
      <c r="M269" s="345">
        <f t="shared" si="116"/>
        <v>0</v>
      </c>
      <c r="N269" s="345">
        <f t="shared" si="116"/>
        <v>0</v>
      </c>
      <c r="O269" s="345">
        <f t="shared" si="116"/>
        <v>0</v>
      </c>
      <c r="P269" s="434">
        <f>ROUNDDOWN(SUM(D269:O269),0)</f>
        <v>0</v>
      </c>
    </row>
    <row r="270" spans="1:16" s="330" customFormat="1">
      <c r="A270" s="335"/>
      <c r="B270" s="345" t="s">
        <v>28</v>
      </c>
      <c r="C270" s="392"/>
      <c r="D270" s="345">
        <f t="shared" ref="D270:O270" si="117">D215+D219+D224-D238-D243</f>
        <v>0</v>
      </c>
      <c r="E270" s="345">
        <f t="shared" si="117"/>
        <v>0</v>
      </c>
      <c r="F270" s="345">
        <f t="shared" si="117"/>
        <v>0</v>
      </c>
      <c r="G270" s="345">
        <f t="shared" si="117"/>
        <v>0</v>
      </c>
      <c r="H270" s="345">
        <f t="shared" si="117"/>
        <v>0</v>
      </c>
      <c r="I270" s="345">
        <f t="shared" si="117"/>
        <v>0</v>
      </c>
      <c r="J270" s="345">
        <f t="shared" si="117"/>
        <v>0</v>
      </c>
      <c r="K270" s="345">
        <f t="shared" si="117"/>
        <v>0</v>
      </c>
      <c r="L270" s="345">
        <f t="shared" si="117"/>
        <v>0</v>
      </c>
      <c r="M270" s="345">
        <f t="shared" si="117"/>
        <v>0</v>
      </c>
      <c r="N270" s="345">
        <f t="shared" si="117"/>
        <v>0</v>
      </c>
      <c r="O270" s="345">
        <f t="shared" si="117"/>
        <v>0</v>
      </c>
      <c r="P270" s="434">
        <f>ROUNDDOWN(SUM(D270:O270),0)</f>
        <v>0</v>
      </c>
    </row>
    <row r="271" spans="1:16" s="330" customFormat="1">
      <c r="A271" s="335"/>
      <c r="B271" s="345" t="s">
        <v>59</v>
      </c>
      <c r="C271" s="392"/>
      <c r="D271" s="345">
        <f t="shared" ref="D271:O271" si="118">D216+D220+D221+D225+D228+D231-D239-D240-D244-D247-D250-D257-D262-D263</f>
        <v>0</v>
      </c>
      <c r="E271" s="345">
        <f t="shared" si="118"/>
        <v>0</v>
      </c>
      <c r="F271" s="345">
        <f t="shared" si="118"/>
        <v>0</v>
      </c>
      <c r="G271" s="345">
        <f t="shared" si="118"/>
        <v>0</v>
      </c>
      <c r="H271" s="345">
        <f t="shared" si="118"/>
        <v>0</v>
      </c>
      <c r="I271" s="345">
        <f t="shared" si="118"/>
        <v>0</v>
      </c>
      <c r="J271" s="345">
        <f t="shared" si="118"/>
        <v>0</v>
      </c>
      <c r="K271" s="345">
        <f t="shared" si="118"/>
        <v>0</v>
      </c>
      <c r="L271" s="345">
        <f t="shared" si="118"/>
        <v>0</v>
      </c>
      <c r="M271" s="345">
        <f t="shared" si="118"/>
        <v>0</v>
      </c>
      <c r="N271" s="345">
        <f t="shared" si="118"/>
        <v>0</v>
      </c>
      <c r="O271" s="345">
        <f t="shared" si="118"/>
        <v>0</v>
      </c>
      <c r="P271" s="434">
        <f>ROUNDDOWN(SUM(D271:O271),0)</f>
        <v>0</v>
      </c>
    </row>
    <row r="272" spans="1:16" s="330" customFormat="1">
      <c r="A272" s="358"/>
      <c r="B272" s="330"/>
      <c r="C272" s="330"/>
      <c r="D272" s="330"/>
      <c r="E272" s="330"/>
      <c r="F272" s="330"/>
      <c r="G272" s="330"/>
      <c r="H272" s="330"/>
      <c r="I272" s="330"/>
      <c r="J272" s="330"/>
      <c r="K272" s="330"/>
      <c r="L272" s="330"/>
      <c r="M272" s="330"/>
      <c r="N272" s="330"/>
      <c r="O272" s="330"/>
      <c r="P272" s="409"/>
    </row>
    <row r="273" spans="1:16" s="330" customFormat="1">
      <c r="A273" s="358"/>
      <c r="B273" s="330"/>
      <c r="C273" s="330"/>
      <c r="D273" s="330"/>
      <c r="E273" s="330"/>
      <c r="F273" s="330"/>
      <c r="G273" s="330"/>
      <c r="H273" s="330"/>
      <c r="I273" s="330"/>
      <c r="J273" s="330"/>
      <c r="K273" s="330"/>
      <c r="L273" s="330"/>
      <c r="M273" s="330"/>
      <c r="N273" s="330"/>
      <c r="O273" s="330"/>
      <c r="P273" s="409"/>
    </row>
    <row r="274" spans="1:16" s="330" customFormat="1">
      <c r="A274" s="344" t="s">
        <v>109</v>
      </c>
      <c r="B274" s="330"/>
      <c r="C274" s="330"/>
      <c r="D274" s="330"/>
      <c r="E274" s="330"/>
      <c r="F274" s="330"/>
      <c r="G274" s="330"/>
      <c r="H274" s="330"/>
      <c r="I274" s="330"/>
      <c r="J274" s="330"/>
      <c r="K274" s="330"/>
      <c r="L274" s="330"/>
      <c r="M274" s="330"/>
      <c r="N274" s="330"/>
      <c r="O274" s="330"/>
      <c r="P274" s="409"/>
    </row>
    <row r="275" spans="1:16" s="330" customFormat="1">
      <c r="A275" s="352"/>
      <c r="B275" s="345" t="s">
        <v>123</v>
      </c>
      <c r="C275" s="345" t="s">
        <v>65</v>
      </c>
      <c r="D275" s="345" t="s">
        <v>40</v>
      </c>
      <c r="E275" s="345" t="s">
        <v>19</v>
      </c>
      <c r="F275" s="345" t="s">
        <v>41</v>
      </c>
      <c r="G275" s="345" t="s">
        <v>42</v>
      </c>
      <c r="H275" s="345" t="s">
        <v>44</v>
      </c>
      <c r="I275" s="345" t="s">
        <v>48</v>
      </c>
      <c r="J275" s="345" t="s">
        <v>35</v>
      </c>
      <c r="K275" s="345" t="s">
        <v>47</v>
      </c>
      <c r="L275" s="345" t="s">
        <v>50</v>
      </c>
      <c r="M275" s="345" t="s">
        <v>77</v>
      </c>
      <c r="N275" s="345" t="s">
        <v>78</v>
      </c>
      <c r="O275" s="345" t="s">
        <v>79</v>
      </c>
      <c r="P275" s="345" t="s">
        <v>72</v>
      </c>
    </row>
    <row r="276" spans="1:16" s="330" customFormat="1">
      <c r="A276" s="335" t="s">
        <v>150</v>
      </c>
      <c r="B276" s="345" t="s">
        <v>33</v>
      </c>
      <c r="C276" s="395">
        <f>C50/12</f>
        <v>55833.333333333336</v>
      </c>
      <c r="D276" s="345">
        <f t="shared" ref="D276:O276" si="119">IF($C$276&lt;D268,D268-$C$276,0)</f>
        <v>0</v>
      </c>
      <c r="E276" s="345">
        <f t="shared" si="119"/>
        <v>0</v>
      </c>
      <c r="F276" s="345">
        <f t="shared" si="119"/>
        <v>0</v>
      </c>
      <c r="G276" s="345">
        <f t="shared" si="119"/>
        <v>0</v>
      </c>
      <c r="H276" s="345">
        <f t="shared" si="119"/>
        <v>0</v>
      </c>
      <c r="I276" s="345">
        <f t="shared" si="119"/>
        <v>0</v>
      </c>
      <c r="J276" s="345">
        <f t="shared" si="119"/>
        <v>0</v>
      </c>
      <c r="K276" s="345">
        <f t="shared" si="119"/>
        <v>0</v>
      </c>
      <c r="L276" s="345">
        <f t="shared" si="119"/>
        <v>0</v>
      </c>
      <c r="M276" s="345">
        <f t="shared" si="119"/>
        <v>0</v>
      </c>
      <c r="N276" s="345">
        <f t="shared" si="119"/>
        <v>0</v>
      </c>
      <c r="O276" s="345">
        <f t="shared" si="119"/>
        <v>0</v>
      </c>
      <c r="P276" s="434">
        <f>ROUNDDOWN(SUM(D276:O276),0)</f>
        <v>0</v>
      </c>
    </row>
    <row r="277" spans="1:16" s="330" customFormat="1">
      <c r="A277" s="335"/>
      <c r="B277" s="345" t="s">
        <v>57</v>
      </c>
      <c r="C277" s="395">
        <f>D50/12</f>
        <v>21666.666666666668</v>
      </c>
      <c r="D277" s="345">
        <f t="shared" ref="D277:O277" si="120">IF($C$277&lt;D269,D269-$C$277,0)</f>
        <v>0</v>
      </c>
      <c r="E277" s="345">
        <f t="shared" si="120"/>
        <v>0</v>
      </c>
      <c r="F277" s="345">
        <f t="shared" si="120"/>
        <v>0</v>
      </c>
      <c r="G277" s="345">
        <f t="shared" si="120"/>
        <v>0</v>
      </c>
      <c r="H277" s="345">
        <f t="shared" si="120"/>
        <v>0</v>
      </c>
      <c r="I277" s="345">
        <f t="shared" si="120"/>
        <v>0</v>
      </c>
      <c r="J277" s="345">
        <f t="shared" si="120"/>
        <v>0</v>
      </c>
      <c r="K277" s="345">
        <f t="shared" si="120"/>
        <v>0</v>
      </c>
      <c r="L277" s="345">
        <f t="shared" si="120"/>
        <v>0</v>
      </c>
      <c r="M277" s="345">
        <f t="shared" si="120"/>
        <v>0</v>
      </c>
      <c r="N277" s="345">
        <f t="shared" si="120"/>
        <v>0</v>
      </c>
      <c r="O277" s="345">
        <f t="shared" si="120"/>
        <v>0</v>
      </c>
      <c r="P277" s="434">
        <f>ROUNDDOWN(SUM(D277:O277),0)</f>
        <v>0</v>
      </c>
    </row>
    <row r="278" spans="1:16" s="330" customFormat="1">
      <c r="A278" s="335"/>
      <c r="B278" s="345" t="s">
        <v>28</v>
      </c>
      <c r="C278" s="395">
        <f>E50/12</f>
        <v>14166.666666666666</v>
      </c>
      <c r="D278" s="345">
        <f t="shared" ref="D278:O278" si="121">IF($C$278&lt;D270,D270-$C$278,0)</f>
        <v>0</v>
      </c>
      <c r="E278" s="345">
        <f t="shared" si="121"/>
        <v>0</v>
      </c>
      <c r="F278" s="345">
        <f t="shared" si="121"/>
        <v>0</v>
      </c>
      <c r="G278" s="345">
        <f t="shared" si="121"/>
        <v>0</v>
      </c>
      <c r="H278" s="345">
        <f t="shared" si="121"/>
        <v>0</v>
      </c>
      <c r="I278" s="345">
        <f t="shared" si="121"/>
        <v>0</v>
      </c>
      <c r="J278" s="345">
        <f t="shared" si="121"/>
        <v>0</v>
      </c>
      <c r="K278" s="345">
        <f t="shared" si="121"/>
        <v>0</v>
      </c>
      <c r="L278" s="345">
        <f t="shared" si="121"/>
        <v>0</v>
      </c>
      <c r="M278" s="345">
        <f t="shared" si="121"/>
        <v>0</v>
      </c>
      <c r="N278" s="345">
        <f t="shared" si="121"/>
        <v>0</v>
      </c>
      <c r="O278" s="345">
        <f t="shared" si="121"/>
        <v>0</v>
      </c>
      <c r="P278" s="434">
        <f>ROUNDDOWN(SUM(D278:O278),0)</f>
        <v>0</v>
      </c>
    </row>
    <row r="279" spans="1:16" s="330" customFormat="1">
      <c r="A279" s="335"/>
      <c r="B279" s="345" t="s">
        <v>59</v>
      </c>
      <c r="C279" s="395">
        <f>F50/12</f>
        <v>2500</v>
      </c>
      <c r="D279" s="345">
        <f t="shared" ref="D279:O279" si="122">IF($C$279&lt;D271,D271-$C$279,0)</f>
        <v>0</v>
      </c>
      <c r="E279" s="345">
        <f t="shared" si="122"/>
        <v>0</v>
      </c>
      <c r="F279" s="345">
        <f t="shared" si="122"/>
        <v>0</v>
      </c>
      <c r="G279" s="345">
        <f t="shared" si="122"/>
        <v>0</v>
      </c>
      <c r="H279" s="345">
        <f t="shared" si="122"/>
        <v>0</v>
      </c>
      <c r="I279" s="345">
        <f t="shared" si="122"/>
        <v>0</v>
      </c>
      <c r="J279" s="345">
        <f t="shared" si="122"/>
        <v>0</v>
      </c>
      <c r="K279" s="345">
        <f t="shared" si="122"/>
        <v>0</v>
      </c>
      <c r="L279" s="345">
        <f t="shared" si="122"/>
        <v>0</v>
      </c>
      <c r="M279" s="345">
        <f t="shared" si="122"/>
        <v>0</v>
      </c>
      <c r="N279" s="345">
        <f t="shared" si="122"/>
        <v>0</v>
      </c>
      <c r="O279" s="345">
        <f t="shared" si="122"/>
        <v>0</v>
      </c>
      <c r="P279" s="434">
        <f>ROUNDDOWN(SUM(D279:O279),0)</f>
        <v>0</v>
      </c>
    </row>
    <row r="280" spans="1:16" s="330" customFormat="1">
      <c r="A280" s="330"/>
      <c r="B280" s="330"/>
      <c r="C280" s="330"/>
      <c r="D280" s="330"/>
      <c r="E280" s="330"/>
      <c r="F280" s="330"/>
      <c r="G280" s="330"/>
      <c r="H280" s="330"/>
      <c r="I280" s="330"/>
      <c r="J280" s="330"/>
      <c r="K280" s="330"/>
      <c r="L280" s="330"/>
      <c r="M280" s="330"/>
      <c r="N280" s="330"/>
      <c r="O280" s="330"/>
      <c r="P280" s="330"/>
    </row>
    <row r="281" spans="1:16" s="330" customFormat="1">
      <c r="A281" s="330"/>
      <c r="B281" s="330"/>
      <c r="C281" s="330"/>
      <c r="D281" s="330"/>
      <c r="E281" s="330"/>
      <c r="F281" s="330"/>
      <c r="G281" s="330"/>
      <c r="H281" s="330"/>
      <c r="I281" s="330"/>
      <c r="J281" s="330"/>
      <c r="K281" s="330"/>
      <c r="L281" s="330"/>
      <c r="M281" s="330"/>
      <c r="N281" s="330"/>
      <c r="O281" s="330"/>
      <c r="P281" s="330"/>
    </row>
    <row r="282" spans="1:16" s="330" customFormat="1">
      <c r="A282" s="344" t="s">
        <v>349</v>
      </c>
      <c r="B282" s="330"/>
      <c r="C282" s="330"/>
      <c r="D282" s="330"/>
      <c r="E282" s="330"/>
      <c r="F282" s="330"/>
      <c r="G282" s="330"/>
      <c r="H282" s="330"/>
      <c r="I282" s="330"/>
      <c r="J282" s="330"/>
      <c r="K282" s="330"/>
      <c r="L282" s="330"/>
      <c r="M282" s="330"/>
      <c r="N282" s="330"/>
      <c r="O282" s="330"/>
      <c r="P282" s="330"/>
    </row>
    <row r="283" spans="1:16" s="330" customFormat="1" ht="10.9" customHeight="1">
      <c r="A283" s="345"/>
      <c r="B283" s="345"/>
      <c r="C283" s="345" t="s">
        <v>96</v>
      </c>
      <c r="D283" s="345" t="s">
        <v>98</v>
      </c>
      <c r="E283" s="345" t="s">
        <v>99</v>
      </c>
      <c r="F283" s="345" t="s">
        <v>59</v>
      </c>
      <c r="G283" s="345" t="s">
        <v>321</v>
      </c>
      <c r="H283" s="330"/>
      <c r="I283" s="330"/>
      <c r="J283" s="330"/>
      <c r="K283" s="330"/>
      <c r="L283" s="330"/>
      <c r="M283" s="330"/>
      <c r="N283" s="330"/>
      <c r="O283" s="330"/>
      <c r="P283" s="330"/>
    </row>
    <row r="284" spans="1:16" s="330" customFormat="1">
      <c r="A284" s="335" t="s">
        <v>31</v>
      </c>
      <c r="B284" s="335"/>
      <c r="C284" s="374">
        <f>P213</f>
        <v>0</v>
      </c>
      <c r="D284" s="374">
        <f>P214</f>
        <v>0</v>
      </c>
      <c r="E284" s="374">
        <f>P215</f>
        <v>0</v>
      </c>
      <c r="F284" s="374">
        <f>P216</f>
        <v>0</v>
      </c>
      <c r="G284" s="374">
        <f t="shared" ref="G284:G296" si="123">SUM(C284:F284)</f>
        <v>0</v>
      </c>
      <c r="H284" s="330"/>
      <c r="I284" s="330"/>
      <c r="J284" s="330"/>
      <c r="K284" s="330"/>
      <c r="L284" s="330"/>
      <c r="M284" s="330"/>
      <c r="N284" s="330"/>
      <c r="O284" s="330"/>
      <c r="P284" s="330"/>
    </row>
    <row r="285" spans="1:16" s="330" customFormat="1">
      <c r="A285" s="335" t="s">
        <v>16</v>
      </c>
      <c r="B285" s="335"/>
      <c r="C285" s="374">
        <f>P217</f>
        <v>0</v>
      </c>
      <c r="D285" s="374">
        <f>P218</f>
        <v>0</v>
      </c>
      <c r="E285" s="374">
        <f>P219</f>
        <v>0</v>
      </c>
      <c r="F285" s="374">
        <f>P220</f>
        <v>0</v>
      </c>
      <c r="G285" s="374">
        <f t="shared" si="123"/>
        <v>0</v>
      </c>
      <c r="H285" s="330"/>
      <c r="I285" s="330"/>
      <c r="J285" s="330"/>
      <c r="K285" s="330"/>
      <c r="L285" s="330"/>
      <c r="M285" s="330"/>
      <c r="N285" s="330"/>
      <c r="O285" s="330"/>
      <c r="P285" s="330"/>
    </row>
    <row r="286" spans="1:16" s="330" customFormat="1">
      <c r="A286" s="335" t="s">
        <v>324</v>
      </c>
      <c r="B286" s="335"/>
      <c r="C286" s="374">
        <v>0</v>
      </c>
      <c r="D286" s="374">
        <v>0</v>
      </c>
      <c r="E286" s="374">
        <v>0</v>
      </c>
      <c r="F286" s="374">
        <f>P221</f>
        <v>0</v>
      </c>
      <c r="G286" s="374">
        <f t="shared" si="123"/>
        <v>0</v>
      </c>
      <c r="H286" s="330"/>
      <c r="I286" s="330"/>
      <c r="J286" s="330"/>
      <c r="K286" s="330"/>
      <c r="L286" s="330"/>
      <c r="M286" s="330"/>
      <c r="N286" s="330"/>
      <c r="O286" s="330"/>
      <c r="P286" s="330"/>
    </row>
    <row r="287" spans="1:16" s="330" customFormat="1">
      <c r="A287" s="335" t="s">
        <v>12</v>
      </c>
      <c r="B287" s="335"/>
      <c r="C287" s="374">
        <f>P222+P226+P229</f>
        <v>0</v>
      </c>
      <c r="D287" s="374">
        <f>P223+P227+P230</f>
        <v>0</v>
      </c>
      <c r="E287" s="374">
        <f>P224</f>
        <v>0</v>
      </c>
      <c r="F287" s="374">
        <f>P225+P228+P231</f>
        <v>0</v>
      </c>
      <c r="G287" s="374">
        <f t="shared" si="123"/>
        <v>0</v>
      </c>
      <c r="H287" s="330"/>
      <c r="I287" s="330"/>
      <c r="J287" s="330"/>
      <c r="K287" s="330"/>
      <c r="L287" s="330"/>
      <c r="M287" s="330"/>
      <c r="N287" s="330"/>
      <c r="O287" s="330"/>
      <c r="P287" s="330"/>
    </row>
    <row r="288" spans="1:16" s="330" customFormat="1">
      <c r="A288" s="345" t="s">
        <v>318</v>
      </c>
      <c r="B288" s="345"/>
      <c r="C288" s="374">
        <f>SUM(C284:C287)</f>
        <v>0</v>
      </c>
      <c r="D288" s="374">
        <f>SUM(D284:D287)</f>
        <v>0</v>
      </c>
      <c r="E288" s="374">
        <f>SUM(E284:E287)</f>
        <v>0</v>
      </c>
      <c r="F288" s="374">
        <f>SUM(F284:F287)</f>
        <v>0</v>
      </c>
      <c r="G288" s="374">
        <f t="shared" si="123"/>
        <v>0</v>
      </c>
      <c r="H288" s="330"/>
      <c r="I288" s="330"/>
      <c r="J288" s="330"/>
      <c r="K288" s="330"/>
      <c r="L288" s="330"/>
      <c r="M288" s="330"/>
      <c r="N288" s="330"/>
      <c r="O288" s="330"/>
      <c r="P288" s="330"/>
    </row>
    <row r="289" spans="1:14" s="330" customFormat="1">
      <c r="A289" s="345" t="s">
        <v>315</v>
      </c>
      <c r="B289" s="345" t="s">
        <v>16</v>
      </c>
      <c r="C289" s="374">
        <f>P236</f>
        <v>0</v>
      </c>
      <c r="D289" s="374">
        <f>P237</f>
        <v>0</v>
      </c>
      <c r="E289" s="374">
        <f>P238</f>
        <v>0</v>
      </c>
      <c r="F289" s="374">
        <f>P239</f>
        <v>0</v>
      </c>
      <c r="G289" s="374">
        <f t="shared" si="123"/>
        <v>0</v>
      </c>
      <c r="H289" s="330"/>
      <c r="I289" s="330"/>
      <c r="J289" s="330"/>
      <c r="K289" s="330"/>
      <c r="L289" s="330"/>
      <c r="M289" s="330"/>
      <c r="N289" s="330"/>
    </row>
    <row r="290" spans="1:14" s="330" customFormat="1">
      <c r="A290" s="360">
        <f>試算シート!D30</f>
        <v>0</v>
      </c>
      <c r="B290" s="345" t="s">
        <v>324</v>
      </c>
      <c r="C290" s="374">
        <v>0</v>
      </c>
      <c r="D290" s="374">
        <v>0</v>
      </c>
      <c r="E290" s="374">
        <v>0</v>
      </c>
      <c r="F290" s="374">
        <f>P240</f>
        <v>0</v>
      </c>
      <c r="G290" s="374">
        <f t="shared" si="123"/>
        <v>0</v>
      </c>
      <c r="H290" s="330"/>
      <c r="I290" s="330"/>
      <c r="J290" s="330"/>
      <c r="K290" s="330"/>
      <c r="L290" s="330"/>
      <c r="M290" s="330"/>
      <c r="N290" s="330"/>
    </row>
    <row r="291" spans="1:14" s="330" customFormat="1">
      <c r="A291" s="345"/>
      <c r="B291" s="345" t="s">
        <v>12</v>
      </c>
      <c r="C291" s="374">
        <f>P241+P245+P248</f>
        <v>0</v>
      </c>
      <c r="D291" s="374">
        <f>P242+P246+P249</f>
        <v>0</v>
      </c>
      <c r="E291" s="374">
        <f>P243</f>
        <v>0</v>
      </c>
      <c r="F291" s="374">
        <f>P244+P247+P250</f>
        <v>0</v>
      </c>
      <c r="G291" s="374">
        <f t="shared" si="123"/>
        <v>0</v>
      </c>
      <c r="H291" s="330"/>
      <c r="I291" s="330"/>
      <c r="J291" s="330"/>
      <c r="K291" s="330"/>
      <c r="L291" s="330"/>
      <c r="M291" s="330"/>
      <c r="N291" s="330"/>
    </row>
    <row r="292" spans="1:14" s="330" customFormat="1">
      <c r="A292" s="335" t="s">
        <v>190</v>
      </c>
      <c r="B292" s="335"/>
      <c r="C292" s="374">
        <f>P255</f>
        <v>0</v>
      </c>
      <c r="D292" s="374">
        <f>P256</f>
        <v>0</v>
      </c>
      <c r="E292" s="374">
        <v>0</v>
      </c>
      <c r="F292" s="374">
        <f>P257</f>
        <v>0</v>
      </c>
      <c r="G292" s="374">
        <f t="shared" si="123"/>
        <v>0</v>
      </c>
      <c r="H292" s="330"/>
      <c r="I292" s="330"/>
      <c r="J292" s="330"/>
      <c r="K292" s="330"/>
      <c r="L292" s="330"/>
      <c r="M292" s="330"/>
      <c r="N292" s="330"/>
    </row>
    <row r="293" spans="1:14" s="330" customFormat="1">
      <c r="A293" s="335" t="s">
        <v>326</v>
      </c>
      <c r="B293" s="335"/>
      <c r="C293" s="374">
        <v>0</v>
      </c>
      <c r="D293" s="374">
        <v>0</v>
      </c>
      <c r="E293" s="374">
        <v>0</v>
      </c>
      <c r="F293" s="374">
        <f>P262+P263</f>
        <v>0</v>
      </c>
      <c r="G293" s="374">
        <f t="shared" si="123"/>
        <v>0</v>
      </c>
      <c r="H293" s="330"/>
      <c r="I293" s="330"/>
      <c r="J293" s="330"/>
      <c r="K293" s="330"/>
      <c r="L293" s="330"/>
      <c r="M293" s="330"/>
      <c r="N293" s="330"/>
    </row>
    <row r="294" spans="1:14" s="330" customFormat="1">
      <c r="A294" s="345" t="s">
        <v>285</v>
      </c>
      <c r="B294" s="345"/>
      <c r="C294" s="374">
        <f>P276</f>
        <v>0</v>
      </c>
      <c r="D294" s="374">
        <f>P277</f>
        <v>0</v>
      </c>
      <c r="E294" s="374">
        <f>P278</f>
        <v>0</v>
      </c>
      <c r="F294" s="374">
        <f>P279</f>
        <v>0</v>
      </c>
      <c r="G294" s="374">
        <f t="shared" si="123"/>
        <v>0</v>
      </c>
      <c r="H294" s="330"/>
      <c r="I294" s="330"/>
      <c r="J294" s="330"/>
      <c r="K294" s="330"/>
      <c r="L294" s="330"/>
      <c r="M294" s="330"/>
      <c r="N294" s="330"/>
    </row>
    <row r="295" spans="1:14" s="330" customFormat="1">
      <c r="A295" s="345" t="s">
        <v>314</v>
      </c>
      <c r="B295" s="345"/>
      <c r="C295" s="374">
        <f>C288-SUM(C289:C294)-C296</f>
        <v>0</v>
      </c>
      <c r="D295" s="374">
        <f>D288-SUM(D289:D294)-D296</f>
        <v>0</v>
      </c>
      <c r="E295" s="374">
        <f>E288-SUM(E289:E294)-E296</f>
        <v>0</v>
      </c>
      <c r="F295" s="374">
        <f>F288-SUM(F289:F294)-F296</f>
        <v>0</v>
      </c>
      <c r="G295" s="374">
        <f t="shared" si="123"/>
        <v>0</v>
      </c>
      <c r="H295" s="330"/>
      <c r="I295" s="330"/>
      <c r="J295" s="330"/>
      <c r="K295" s="330"/>
      <c r="L295" s="330"/>
      <c r="M295" s="330"/>
      <c r="N295" s="330"/>
    </row>
    <row r="296" spans="1:14" s="330" customFormat="1">
      <c r="A296" s="345" t="s">
        <v>320</v>
      </c>
      <c r="B296" s="345"/>
      <c r="C296" s="374">
        <f>ROUNDDOWN(C288-SUM(C289:C294),-1)</f>
        <v>0</v>
      </c>
      <c r="D296" s="374">
        <f>ROUNDDOWN(D288-SUM(D289:D294),-1)</f>
        <v>0</v>
      </c>
      <c r="E296" s="374">
        <f>ROUNDDOWN(E288-SUM(E289:E294),-1)</f>
        <v>0</v>
      </c>
      <c r="F296" s="374">
        <f>ROUNDDOWN(F288-SUM(F289:F294),-1)</f>
        <v>0</v>
      </c>
      <c r="G296" s="374">
        <f t="shared" si="123"/>
        <v>0</v>
      </c>
      <c r="H296" s="330"/>
      <c r="I296" s="330"/>
      <c r="J296" s="330"/>
      <c r="K296" s="330"/>
      <c r="L296" s="330"/>
      <c r="M296" s="330"/>
      <c r="N296" s="330"/>
    </row>
    <row r="297" spans="1:14" s="330" customFormat="1">
      <c r="A297" s="330"/>
      <c r="B297" s="330"/>
      <c r="C297" s="330"/>
      <c r="D297" s="330"/>
      <c r="E297" s="330"/>
      <c r="F297" s="330"/>
      <c r="G297" s="330"/>
      <c r="H297" s="330"/>
      <c r="I297" s="330"/>
      <c r="J297" s="330"/>
      <c r="K297" s="330"/>
      <c r="L297" s="330"/>
      <c r="M297" s="330"/>
      <c r="N297" s="330"/>
    </row>
    <row r="298" spans="1:14" s="330" customFormat="1">
      <c r="A298" s="330"/>
      <c r="B298" s="330"/>
      <c r="C298" s="396"/>
      <c r="D298" s="330"/>
      <c r="E298" s="330"/>
      <c r="F298" s="330"/>
      <c r="G298" s="330"/>
      <c r="H298" s="330"/>
      <c r="I298" s="330"/>
      <c r="J298" s="330"/>
      <c r="K298" s="330"/>
      <c r="L298" s="330"/>
      <c r="M298" s="330"/>
      <c r="N298" s="330"/>
    </row>
    <row r="299" spans="1:14" s="330" customFormat="1">
      <c r="A299" s="330"/>
      <c r="B299" s="330"/>
      <c r="C299" s="330"/>
      <c r="D299" s="330"/>
      <c r="E299" s="330"/>
      <c r="F299" s="330"/>
      <c r="G299" s="330"/>
      <c r="H299" s="330"/>
      <c r="I299" s="330"/>
      <c r="J299" s="330"/>
      <c r="K299" s="330"/>
      <c r="L299" s="330"/>
      <c r="M299" s="330"/>
      <c r="N299" s="333"/>
    </row>
    <row r="300" spans="1:14" s="330" customFormat="1">
      <c r="A300" s="330"/>
      <c r="B300" s="330"/>
      <c r="C300" s="330"/>
      <c r="D300" s="330"/>
      <c r="E300" s="330"/>
      <c r="F300" s="330"/>
      <c r="G300" s="330"/>
      <c r="H300" s="330"/>
      <c r="I300" s="330"/>
      <c r="J300" s="330"/>
      <c r="K300" s="330"/>
      <c r="L300" s="330"/>
      <c r="M300" s="330"/>
      <c r="N300" s="333"/>
    </row>
    <row r="301" spans="1:14" s="330" customFormat="1">
      <c r="A301" s="343" t="s">
        <v>262</v>
      </c>
      <c r="B301" s="330"/>
      <c r="C301" s="330"/>
      <c r="D301" s="330"/>
      <c r="E301" s="330"/>
      <c r="F301" s="330"/>
      <c r="G301" s="330"/>
      <c r="H301" s="330" t="s">
        <v>46</v>
      </c>
      <c r="I301" s="330"/>
      <c r="J301" s="330"/>
      <c r="K301" s="330"/>
      <c r="L301" s="330"/>
      <c r="M301" s="330"/>
      <c r="N301" s="333"/>
    </row>
    <row r="302" spans="1:14" s="330" customFormat="1">
      <c r="A302" s="330"/>
      <c r="B302" s="330"/>
      <c r="C302" s="330"/>
      <c r="D302" s="330"/>
      <c r="E302" s="330"/>
      <c r="F302" s="345" t="s">
        <v>193</v>
      </c>
      <c r="G302" s="330"/>
      <c r="H302" s="345" t="s">
        <v>172</v>
      </c>
      <c r="I302" s="345" t="s">
        <v>15</v>
      </c>
      <c r="J302" s="345" t="s">
        <v>11</v>
      </c>
      <c r="K302" s="345" t="s">
        <v>310</v>
      </c>
      <c r="L302" s="330"/>
      <c r="M302" s="333"/>
      <c r="N302" s="330"/>
    </row>
    <row r="303" spans="1:14" s="330" customFormat="1">
      <c r="A303" s="345"/>
      <c r="B303" s="345" t="s">
        <v>137</v>
      </c>
      <c r="C303" s="345" t="s">
        <v>288</v>
      </c>
      <c r="D303" s="345" t="s">
        <v>289</v>
      </c>
      <c r="E303" s="330"/>
      <c r="F303" s="345" t="str">
        <f>"～"&amp;"S"&amp;TEXT(R42,"[$-ja-JP]ggg")&amp;TEXT(R42,"e")&amp;".1.1生"</f>
        <v>～S36.1.1生</v>
      </c>
      <c r="G303" s="330"/>
      <c r="H303" s="376">
        <f>COUNTIF(軽減判定シート!B17:B58,"○")</f>
        <v>0</v>
      </c>
      <c r="I303" s="363">
        <f>SUM(軽減判定シート!D11,軽減判定シート!D19:D26,軽減判定シート!D43:D58)</f>
        <v>0</v>
      </c>
      <c r="J303" s="363">
        <f>SUM(軽減判定シート!E11,軽減判定シート!E19:E58)</f>
        <v>0</v>
      </c>
      <c r="K303" s="376">
        <f>COUNTIF(軽減判定シート!F17:F58,"○")</f>
        <v>0</v>
      </c>
      <c r="L303" s="330"/>
      <c r="M303" s="333"/>
      <c r="N303" s="330"/>
    </row>
    <row r="304" spans="1:14" s="330" customFormat="1">
      <c r="A304" s="345" t="s">
        <v>110</v>
      </c>
      <c r="B304" s="374">
        <f>G8+I8*IF(K303-1&lt;0,0,K303-1)</f>
        <v>430000</v>
      </c>
      <c r="C304" s="345">
        <f>IF(軽減判定シート!M6&lt;=B304,1,0)</f>
        <v>1</v>
      </c>
      <c r="D304" s="345" t="str">
        <f>IF(C307=3,"○","")</f>
        <v>○</v>
      </c>
      <c r="E304" s="330"/>
      <c r="F304" s="330"/>
      <c r="G304" s="330"/>
      <c r="H304" s="330"/>
      <c r="I304" s="330"/>
      <c r="J304" s="330"/>
      <c r="K304" s="389">
        <f>SUM(H303:K303)</f>
        <v>0</v>
      </c>
      <c r="L304" s="330"/>
      <c r="M304" s="333"/>
      <c r="N304" s="330"/>
    </row>
    <row r="305" spans="1:14" s="330" customFormat="1">
      <c r="A305" s="345" t="s">
        <v>111</v>
      </c>
      <c r="B305" s="374">
        <f>G9+H9*軽減判定シート!N5+I9*IF(K303-1&lt;0,0,K303-1)</f>
        <v>430000</v>
      </c>
      <c r="C305" s="345">
        <f>IF(軽減判定シート!M6&lt;=B305,1,0)</f>
        <v>1</v>
      </c>
      <c r="D305" s="345" t="str">
        <f>IF(C307=2,"○","")</f>
        <v/>
      </c>
      <c r="E305" s="330"/>
      <c r="F305" s="330"/>
      <c r="G305" s="330"/>
      <c r="H305" s="330"/>
      <c r="I305" s="330"/>
      <c r="J305" s="330"/>
      <c r="K305" s="330"/>
      <c r="L305" s="330"/>
      <c r="M305" s="330"/>
      <c r="N305" s="333"/>
    </row>
    <row r="306" spans="1:14" s="330" customFormat="1">
      <c r="A306" s="345" t="s">
        <v>113</v>
      </c>
      <c r="B306" s="374">
        <f>G10+H10*軽減判定シート!N5+I10*IF(K303-1&lt;0,0,K303-1)</f>
        <v>430000</v>
      </c>
      <c r="C306" s="345">
        <f>IF(軽減判定シート!M6&lt;=B306,1,0)</f>
        <v>1</v>
      </c>
      <c r="D306" s="345" t="str">
        <f>IF(C307=1,"○","")</f>
        <v/>
      </c>
      <c r="E306" s="330"/>
      <c r="F306" s="330"/>
      <c r="G306" s="330"/>
      <c r="H306" s="330"/>
      <c r="I306" s="330"/>
      <c r="J306" s="330"/>
      <c r="K306" s="330"/>
      <c r="L306" s="330"/>
      <c r="M306" s="330"/>
      <c r="N306" s="333"/>
    </row>
    <row r="307" spans="1:14" s="330" customFormat="1">
      <c r="A307" s="330"/>
      <c r="B307" s="330"/>
      <c r="C307" s="330">
        <f>COUNTIF(C304:C306,1)</f>
        <v>3</v>
      </c>
      <c r="D307" s="330"/>
      <c r="E307" s="330"/>
      <c r="F307" s="330"/>
      <c r="G307" s="330"/>
      <c r="H307" s="330"/>
      <c r="I307" s="330"/>
      <c r="J307" s="330"/>
      <c r="K307" s="330"/>
      <c r="L307" s="330"/>
      <c r="M307" s="330"/>
      <c r="N307" s="333"/>
    </row>
    <row r="308" spans="1:14" s="330" customFormat="1">
      <c r="A308" s="330"/>
      <c r="B308" s="330"/>
      <c r="C308" s="330"/>
      <c r="D308" s="330"/>
      <c r="E308" s="330"/>
      <c r="F308" s="330"/>
      <c r="G308" s="330"/>
      <c r="H308" s="330"/>
      <c r="I308" s="330"/>
      <c r="J308" s="330"/>
      <c r="K308" s="330"/>
      <c r="L308" s="330"/>
      <c r="M308" s="330"/>
      <c r="N308" s="333"/>
    </row>
    <row r="309" spans="1:14" s="330" customFormat="1">
      <c r="A309" s="330"/>
      <c r="B309" s="330"/>
      <c r="C309" s="330"/>
      <c r="D309" s="330"/>
      <c r="E309" s="330"/>
      <c r="F309" s="330"/>
      <c r="G309" s="330"/>
      <c r="H309" s="330"/>
      <c r="I309" s="330"/>
      <c r="J309" s="330"/>
      <c r="K309" s="330"/>
      <c r="L309" s="330"/>
      <c r="M309" s="330"/>
      <c r="N309" s="333"/>
    </row>
    <row r="310" spans="1:14" s="330" customFormat="1">
      <c r="A310" s="343" t="s">
        <v>147</v>
      </c>
      <c r="B310" s="330"/>
      <c r="C310" s="330"/>
      <c r="D310" s="330"/>
      <c r="E310" s="330"/>
      <c r="F310" s="330"/>
      <c r="G310" s="330"/>
      <c r="H310" s="330"/>
      <c r="I310" s="330"/>
      <c r="J310" s="330"/>
      <c r="K310" s="330"/>
      <c r="L310" s="330"/>
      <c r="M310" s="330"/>
      <c r="N310" s="333"/>
    </row>
    <row r="311" spans="1:14" s="330" customFormat="1">
      <c r="A311" s="330"/>
      <c r="B311" s="330"/>
      <c r="C311" s="330"/>
      <c r="D311" s="330"/>
      <c r="E311" s="330"/>
      <c r="F311" s="330"/>
      <c r="G311" s="330"/>
      <c r="H311" s="330"/>
      <c r="I311" s="330"/>
      <c r="J311" s="330"/>
      <c r="K311" s="330"/>
      <c r="L311" s="330"/>
      <c r="M311" s="330"/>
      <c r="N311" s="333"/>
    </row>
    <row r="312" spans="1:14">
      <c r="A312" s="361"/>
      <c r="B312" s="361"/>
      <c r="C312" s="361"/>
      <c r="D312" s="361"/>
      <c r="E312" s="361"/>
      <c r="F312" s="361"/>
      <c r="G312" s="361"/>
      <c r="H312" s="361"/>
      <c r="I312" s="361"/>
      <c r="J312" s="361"/>
    </row>
    <row r="313" spans="1:14">
      <c r="A313" s="361" t="s">
        <v>185</v>
      </c>
      <c r="B313" s="361"/>
      <c r="C313" s="361"/>
      <c r="D313" s="361"/>
      <c r="E313" s="361"/>
      <c r="F313" s="361"/>
      <c r="G313" s="361"/>
      <c r="H313" s="361"/>
      <c r="I313" s="361"/>
      <c r="J313" s="361"/>
    </row>
    <row r="314" spans="1:14">
      <c r="A314" s="361"/>
      <c r="B314" s="361"/>
      <c r="C314" s="361"/>
      <c r="D314" s="361"/>
      <c r="E314" s="361"/>
      <c r="F314" s="361"/>
      <c r="G314" s="361"/>
      <c r="H314" s="361"/>
      <c r="I314" s="361"/>
      <c r="J314" s="361"/>
    </row>
    <row r="315" spans="1:14">
      <c r="A315" s="362" t="s">
        <v>212</v>
      </c>
      <c r="B315" s="375"/>
      <c r="C315" s="363" t="s">
        <v>210</v>
      </c>
      <c r="D315" s="363" t="s">
        <v>172</v>
      </c>
      <c r="E315" s="363" t="s">
        <v>158</v>
      </c>
      <c r="F315" s="361"/>
      <c r="G315" s="361"/>
      <c r="H315" s="361"/>
      <c r="I315" s="361"/>
      <c r="J315" s="361"/>
    </row>
    <row r="316" spans="1:14">
      <c r="A316" s="363">
        <v>0</v>
      </c>
      <c r="B316" s="363">
        <v>650999</v>
      </c>
      <c r="C316" s="363">
        <v>0</v>
      </c>
      <c r="D316" s="376">
        <f>IF(A316&lt;=所得計算シート!$C$9,IF(所得計算シート!$C$9&lt;=B316,1,0),0)</f>
        <v>1</v>
      </c>
      <c r="E316" s="363">
        <v>0</v>
      </c>
      <c r="F316" s="361"/>
      <c r="G316" s="361"/>
      <c r="H316" s="361"/>
      <c r="I316" s="361"/>
      <c r="J316" s="361"/>
    </row>
    <row r="317" spans="1:14">
      <c r="A317" s="363">
        <v>651000</v>
      </c>
      <c r="B317" s="363">
        <v>1899999</v>
      </c>
      <c r="C317" s="363" t="s">
        <v>205</v>
      </c>
      <c r="D317" s="376">
        <f>IF(A317&lt;=所得計算シート!$C$9,IF(所得計算シート!$C$9&lt;=B317,1,0),0)</f>
        <v>0</v>
      </c>
      <c r="E317" s="363">
        <f>所得計算シート!$C$9-650000</f>
        <v>-650000</v>
      </c>
      <c r="F317" s="361"/>
      <c r="G317" s="361"/>
      <c r="H317" s="361"/>
      <c r="I317" s="361"/>
      <c r="J317" s="361"/>
    </row>
    <row r="318" spans="1:14">
      <c r="A318" s="363">
        <v>1900000</v>
      </c>
      <c r="B318" s="363">
        <v>3599999</v>
      </c>
      <c r="C318" s="363" t="s">
        <v>21</v>
      </c>
      <c r="D318" s="376">
        <f>IF(A318&lt;=所得計算シート!$C$9,IF(所得計算シート!$C$9&lt;=B318,1,0),0)</f>
        <v>0</v>
      </c>
      <c r="E318" s="363">
        <f>ROUNDDOWN(所得計算シート!$C$9/4,-3)*2.8-80000</f>
        <v>-80000</v>
      </c>
      <c r="F318" s="361"/>
      <c r="G318" s="361"/>
      <c r="H318" s="361"/>
      <c r="I318" s="361"/>
      <c r="J318" s="361"/>
    </row>
    <row r="319" spans="1:14">
      <c r="A319" s="363">
        <v>3600000</v>
      </c>
      <c r="B319" s="363">
        <v>6599999</v>
      </c>
      <c r="C319" s="363" t="s">
        <v>153</v>
      </c>
      <c r="D319" s="376">
        <f>IF(A319&lt;=所得計算シート!$C$9,IF(所得計算シート!$C$9&lt;=B319,1,0),0)</f>
        <v>0</v>
      </c>
      <c r="E319" s="363">
        <f>ROUNDDOWN(所得計算シート!$C$9/4,-3)*3.2-440000</f>
        <v>-440000</v>
      </c>
      <c r="F319" s="361"/>
      <c r="G319" s="361"/>
      <c r="H319" s="361"/>
      <c r="I319" s="361"/>
      <c r="J319" s="361"/>
    </row>
    <row r="320" spans="1:14">
      <c r="A320" s="363">
        <v>6600000</v>
      </c>
      <c r="B320" s="363">
        <v>8499999</v>
      </c>
      <c r="C320" s="363" t="s">
        <v>207</v>
      </c>
      <c r="D320" s="376">
        <f>IF(A320&lt;=所得計算シート!$C$9,IF(所得計算シート!$C$9&lt;=B320,1,0),0)</f>
        <v>0</v>
      </c>
      <c r="E320" s="363">
        <f>所得計算シート!$C$9*0.9-1100000</f>
        <v>-1100000</v>
      </c>
      <c r="F320" s="361"/>
      <c r="G320" s="361"/>
      <c r="H320" s="361"/>
      <c r="I320" s="361"/>
      <c r="J320" s="361"/>
    </row>
    <row r="321" spans="1:10">
      <c r="A321" s="363">
        <v>8500000</v>
      </c>
      <c r="B321" s="363"/>
      <c r="C321" s="363" t="s">
        <v>208</v>
      </c>
      <c r="D321" s="376">
        <f>IF(A321&lt;=所得計算シート!$C$9,1,0)</f>
        <v>0</v>
      </c>
      <c r="E321" s="363">
        <f>所得計算シート!$C$9-1950000</f>
        <v>-1950000</v>
      </c>
      <c r="F321" s="361"/>
      <c r="G321" s="361"/>
      <c r="H321" s="361"/>
      <c r="I321" s="361"/>
      <c r="J321" s="361"/>
    </row>
    <row r="322" spans="1:10">
      <c r="A322" s="361"/>
      <c r="B322" s="361"/>
      <c r="C322" s="361"/>
      <c r="D322" s="361"/>
      <c r="E322" s="361"/>
      <c r="F322" s="361"/>
      <c r="G322" s="361"/>
      <c r="H322" s="361"/>
      <c r="I322" s="361"/>
      <c r="J322" s="361"/>
    </row>
    <row r="323" spans="1:10">
      <c r="A323" s="361" t="s">
        <v>159</v>
      </c>
      <c r="B323" s="361"/>
      <c r="C323" s="361"/>
      <c r="D323" s="361"/>
      <c r="E323" s="361"/>
      <c r="F323" s="361"/>
      <c r="G323" s="361"/>
      <c r="H323" s="361"/>
      <c r="I323" s="361"/>
      <c r="J323" s="361"/>
    </row>
    <row r="324" spans="1:10">
      <c r="A324" s="361" t="s">
        <v>121</v>
      </c>
      <c r="B324" s="333">
        <f>IFERROR(VALUE(TEXT(DATEVALUE(所得計算シート!E23&amp;所得計算シート!F23&amp;"年"&amp;所得計算シート!G23&amp;"月"&amp;所得計算シート!H23&amp;"日"),"yyyymmdd")),0)</f>
        <v>0</v>
      </c>
      <c r="C324" s="333"/>
      <c r="D324" s="361"/>
      <c r="E324" s="361"/>
      <c r="F324" s="361"/>
      <c r="G324" s="361"/>
      <c r="H324" s="361"/>
      <c r="I324" s="361"/>
      <c r="J324" s="361"/>
    </row>
    <row r="325" spans="1:10">
      <c r="A325" s="361" t="s">
        <v>276</v>
      </c>
      <c r="B325" s="361" t="str">
        <f>IF(所得計算シート!C26=0,"1千万円以下",所得計算シート!C26)</f>
        <v>１千万円以下</v>
      </c>
      <c r="C325" s="333"/>
      <c r="D325" s="361"/>
      <c r="E325" s="361"/>
      <c r="F325" s="361"/>
      <c r="G325" s="361"/>
      <c r="H325" s="361"/>
      <c r="I325" s="361"/>
      <c r="J325" s="361"/>
    </row>
    <row r="326" spans="1:10">
      <c r="A326" s="361"/>
      <c r="B326" s="333"/>
      <c r="C326" s="333"/>
      <c r="D326" s="361"/>
      <c r="E326" s="361"/>
      <c r="F326" s="361"/>
      <c r="G326" s="361"/>
      <c r="H326" s="361"/>
      <c r="I326" s="361"/>
      <c r="J326" s="361"/>
    </row>
    <row r="327" spans="1:10">
      <c r="A327" s="363" t="s">
        <v>106</v>
      </c>
      <c r="B327" s="376" t="s">
        <v>14</v>
      </c>
      <c r="C327" s="361"/>
      <c r="D327" s="361"/>
      <c r="E327" s="361"/>
      <c r="F327" s="361"/>
      <c r="G327" s="361"/>
      <c r="H327" s="361"/>
      <c r="I327" s="361"/>
      <c r="J327" s="361"/>
    </row>
    <row r="328" spans="1:10">
      <c r="A328" s="363" t="s">
        <v>192</v>
      </c>
      <c r="B328" s="376">
        <f>M41</f>
        <v>19610102</v>
      </c>
      <c r="C328" s="361"/>
      <c r="D328" s="361"/>
      <c r="E328" s="361"/>
      <c r="F328" s="361"/>
      <c r="G328" s="361"/>
      <c r="H328" s="361"/>
      <c r="I328" s="361"/>
      <c r="J328" s="361"/>
    </row>
    <row r="329" spans="1:10">
      <c r="A329" s="363" t="s">
        <v>193</v>
      </c>
      <c r="B329" s="376">
        <f>N42</f>
        <v>19610101</v>
      </c>
      <c r="C329" s="361"/>
      <c r="D329" s="361"/>
      <c r="E329" s="361"/>
      <c r="F329" s="361"/>
      <c r="G329" s="361"/>
      <c r="H329" s="361"/>
      <c r="I329" s="361"/>
      <c r="J329" s="361"/>
    </row>
    <row r="330" spans="1:10">
      <c r="A330" s="361"/>
      <c r="B330" s="361"/>
      <c r="C330" s="361"/>
      <c r="D330" s="361"/>
      <c r="E330" s="361"/>
      <c r="F330" s="361"/>
      <c r="H330" s="361"/>
      <c r="I330" s="361"/>
      <c r="J330" s="361"/>
    </row>
    <row r="331" spans="1:10">
      <c r="A331" s="361" t="s">
        <v>169</v>
      </c>
      <c r="B331" s="361"/>
      <c r="C331" s="361"/>
      <c r="D331" s="361"/>
      <c r="E331" s="361"/>
      <c r="F331" s="361"/>
      <c r="G331" s="361"/>
      <c r="H331" s="361"/>
      <c r="I331" s="361"/>
      <c r="J331" s="361"/>
    </row>
    <row r="332" spans="1:10">
      <c r="A332" s="363" t="s">
        <v>219</v>
      </c>
      <c r="B332" s="363" t="s">
        <v>221</v>
      </c>
      <c r="C332" s="363" t="s">
        <v>106</v>
      </c>
      <c r="D332" s="363" t="s">
        <v>217</v>
      </c>
      <c r="E332" s="363" t="s">
        <v>66</v>
      </c>
      <c r="F332" s="363" t="s">
        <v>298</v>
      </c>
      <c r="G332" s="363" t="s">
        <v>55</v>
      </c>
      <c r="H332" s="363" t="s">
        <v>72</v>
      </c>
      <c r="I332" s="363" t="s">
        <v>158</v>
      </c>
      <c r="J332" s="361"/>
    </row>
    <row r="333" spans="1:10">
      <c r="A333" s="363">
        <v>0</v>
      </c>
      <c r="B333" s="363">
        <v>1300000</v>
      </c>
      <c r="C333" s="363" t="str">
        <v>６５歳未満</v>
      </c>
      <c r="D333" s="363" t="str">
        <v>１千万円以下</v>
      </c>
      <c r="E333" s="376">
        <f>IF(A333&lt;=所得計算シート!$C$23,IF(所得計算シート!$C$23&lt;=B333,1,0),0)</f>
        <v>1</v>
      </c>
      <c r="F333" s="376">
        <f>IF($B$328&lt;=$B$324,1,0)</f>
        <v>0</v>
      </c>
      <c r="G333" s="376">
        <f t="shared" ref="G333:G362" si="124">IF($B$325=D333,1,0)</f>
        <v>1</v>
      </c>
      <c r="H333" s="363">
        <f t="shared" ref="H333:H362" si="125">COUNTIF(E333:G333,1)</f>
        <v>2</v>
      </c>
      <c r="I333" s="363">
        <f>所得計算シート!$C$23-600000</f>
        <v>-600000</v>
      </c>
      <c r="J333" s="361"/>
    </row>
    <row r="334" spans="1:10">
      <c r="A334" s="363">
        <v>1300001</v>
      </c>
      <c r="B334" s="363">
        <v>4100000</v>
      </c>
      <c r="C334" s="363" t="str">
        <v>６５歳未満</v>
      </c>
      <c r="D334" s="363" t="str">
        <v>１千万円以下</v>
      </c>
      <c r="E334" s="376">
        <f>IF(A334&lt;=所得計算シート!$C$23,IF(所得計算シート!$C$23&lt;=B334,1,0),0)</f>
        <v>0</v>
      </c>
      <c r="F334" s="376">
        <f>IF($B$328&lt;=$B$324,1,0)</f>
        <v>0</v>
      </c>
      <c r="G334" s="376">
        <f t="shared" si="124"/>
        <v>1</v>
      </c>
      <c r="H334" s="363">
        <f t="shared" si="125"/>
        <v>1</v>
      </c>
      <c r="I334" s="363">
        <f>所得計算シート!$C$23*0.75-275000</f>
        <v>-275000</v>
      </c>
      <c r="J334" s="361"/>
    </row>
    <row r="335" spans="1:10">
      <c r="A335" s="363">
        <v>4100001</v>
      </c>
      <c r="B335" s="363">
        <v>7700000</v>
      </c>
      <c r="C335" s="363" t="str">
        <v>６５歳未満</v>
      </c>
      <c r="D335" s="363" t="str">
        <v>１千万円以下</v>
      </c>
      <c r="E335" s="376">
        <f>IF(A335&lt;=所得計算シート!$C$23,IF(所得計算シート!$C$23&lt;=B335,1,0),0)</f>
        <v>0</v>
      </c>
      <c r="F335" s="376">
        <f>IF($B$328&lt;=$B$324,1,0)</f>
        <v>0</v>
      </c>
      <c r="G335" s="376">
        <f t="shared" si="124"/>
        <v>1</v>
      </c>
      <c r="H335" s="363">
        <f t="shared" si="125"/>
        <v>1</v>
      </c>
      <c r="I335" s="363">
        <f>所得計算シート!$C$23*0.85-685000</f>
        <v>-685000</v>
      </c>
      <c r="J335" s="361"/>
    </row>
    <row r="336" spans="1:10">
      <c r="A336" s="363">
        <v>7700001</v>
      </c>
      <c r="B336" s="363">
        <v>10000000</v>
      </c>
      <c r="C336" s="363" t="str">
        <v>６５歳未満</v>
      </c>
      <c r="D336" s="363" t="str">
        <v>１千万円以下</v>
      </c>
      <c r="E336" s="376">
        <f>IF(A336&lt;=所得計算シート!$C$23,IF(所得計算シート!$C$23&lt;=B336,1,0),0)</f>
        <v>0</v>
      </c>
      <c r="F336" s="376">
        <f>IF($B$328&lt;=$B$324,1,0)</f>
        <v>0</v>
      </c>
      <c r="G336" s="376">
        <f t="shared" si="124"/>
        <v>1</v>
      </c>
      <c r="H336" s="363">
        <f t="shared" si="125"/>
        <v>1</v>
      </c>
      <c r="I336" s="363">
        <f>所得計算シート!$C$23*0.95-1455000</f>
        <v>-1455000</v>
      </c>
      <c r="J336" s="361"/>
    </row>
    <row r="337" spans="1:10">
      <c r="A337" s="363">
        <v>10000001</v>
      </c>
      <c r="B337" s="363"/>
      <c r="C337" s="363" t="str">
        <v>６５歳未満</v>
      </c>
      <c r="D337" s="363" t="str">
        <v>１千万円以下</v>
      </c>
      <c r="E337" s="376">
        <f>IF(A337&lt;=所得計算シート!$C$23,1,0)</f>
        <v>0</v>
      </c>
      <c r="F337" s="376">
        <f>IF($B$328&lt;=$B$324,1,0)</f>
        <v>0</v>
      </c>
      <c r="G337" s="376">
        <f t="shared" si="124"/>
        <v>1</v>
      </c>
      <c r="H337" s="363">
        <f t="shared" si="125"/>
        <v>1</v>
      </c>
      <c r="I337" s="363">
        <f>所得計算シート!$C$23-1955000</f>
        <v>-1955000</v>
      </c>
      <c r="J337" s="361"/>
    </row>
    <row r="338" spans="1:10">
      <c r="A338" s="363">
        <v>0</v>
      </c>
      <c r="B338" s="363">
        <v>3300000</v>
      </c>
      <c r="C338" s="363" t="str">
        <v>６５歳以上</v>
      </c>
      <c r="D338" s="363" t="str">
        <v>１千万円以下</v>
      </c>
      <c r="E338" s="376">
        <f>IF(A338&lt;=所得計算シート!$C$23,IF(所得計算シート!$C$23&lt;=B338,1,0),0)</f>
        <v>1</v>
      </c>
      <c r="F338" s="376">
        <f>IF($B$329&gt;=$B$324,1,0)</f>
        <v>1</v>
      </c>
      <c r="G338" s="376">
        <f t="shared" si="124"/>
        <v>1</v>
      </c>
      <c r="H338" s="363">
        <f t="shared" si="125"/>
        <v>3</v>
      </c>
      <c r="I338" s="363">
        <f>所得計算シート!$C$23-1100000</f>
        <v>-1100000</v>
      </c>
      <c r="J338" s="361"/>
    </row>
    <row r="339" spans="1:10">
      <c r="A339" s="363">
        <v>3300001</v>
      </c>
      <c r="B339" s="363">
        <v>4100000</v>
      </c>
      <c r="C339" s="363" t="str">
        <v>６５歳以上</v>
      </c>
      <c r="D339" s="363" t="str">
        <v>１千万円以下</v>
      </c>
      <c r="E339" s="376">
        <f>IF(A339&lt;=所得計算シート!$C$23,IF(所得計算シート!$C$23&lt;=B339,1,0),0)</f>
        <v>0</v>
      </c>
      <c r="F339" s="376">
        <f>IF($B$329&gt;=$B$324,1,0)</f>
        <v>1</v>
      </c>
      <c r="G339" s="376">
        <f t="shared" si="124"/>
        <v>1</v>
      </c>
      <c r="H339" s="363">
        <f t="shared" si="125"/>
        <v>2</v>
      </c>
      <c r="I339" s="363">
        <f>所得計算シート!$C$23*0.75-275000</f>
        <v>-275000</v>
      </c>
      <c r="J339" s="361"/>
    </row>
    <row r="340" spans="1:10">
      <c r="A340" s="363">
        <v>4100001</v>
      </c>
      <c r="B340" s="363">
        <v>7700000</v>
      </c>
      <c r="C340" s="363" t="str">
        <v>６５歳以上</v>
      </c>
      <c r="D340" s="363" t="str">
        <v>１千万円以下</v>
      </c>
      <c r="E340" s="376">
        <f>IF(A340&lt;=所得計算シート!$C$23,IF(所得計算シート!$C$23&lt;=B340,1,0),0)</f>
        <v>0</v>
      </c>
      <c r="F340" s="376">
        <f>IF($B$329&gt;=$B$324,1,0)</f>
        <v>1</v>
      </c>
      <c r="G340" s="376">
        <f t="shared" si="124"/>
        <v>1</v>
      </c>
      <c r="H340" s="363">
        <f t="shared" si="125"/>
        <v>2</v>
      </c>
      <c r="I340" s="363">
        <f>所得計算シート!$C$23*0.85-685000</f>
        <v>-685000</v>
      </c>
      <c r="J340" s="361"/>
    </row>
    <row r="341" spans="1:10">
      <c r="A341" s="363">
        <v>7700001</v>
      </c>
      <c r="B341" s="363">
        <v>10000000</v>
      </c>
      <c r="C341" s="363" t="str">
        <v>６５歳以上</v>
      </c>
      <c r="D341" s="363" t="str">
        <v>１千万円以下</v>
      </c>
      <c r="E341" s="376">
        <f>IF(A341&lt;=所得計算シート!$C$23,IF(所得計算シート!$C$23&lt;=B341,1,0),0)</f>
        <v>0</v>
      </c>
      <c r="F341" s="376">
        <f>IF($B$329&gt;=$B$324,1,0)</f>
        <v>1</v>
      </c>
      <c r="G341" s="376">
        <f t="shared" si="124"/>
        <v>1</v>
      </c>
      <c r="H341" s="363">
        <f t="shared" si="125"/>
        <v>2</v>
      </c>
      <c r="I341" s="363">
        <f>所得計算シート!$C$23*0.95-1455000</f>
        <v>-1455000</v>
      </c>
      <c r="J341" s="361"/>
    </row>
    <row r="342" spans="1:10">
      <c r="A342" s="363">
        <v>10000001</v>
      </c>
      <c r="B342" s="363"/>
      <c r="C342" s="363" t="str">
        <v>６５歳以上</v>
      </c>
      <c r="D342" s="363" t="str">
        <v>１千万円以下</v>
      </c>
      <c r="E342" s="376">
        <f>IF(A342&lt;=所得計算シート!$C$23,1,0)</f>
        <v>0</v>
      </c>
      <c r="F342" s="376">
        <f>IF($B$329&gt;=$B$324,1,0)</f>
        <v>1</v>
      </c>
      <c r="G342" s="376">
        <f t="shared" si="124"/>
        <v>1</v>
      </c>
      <c r="H342" s="363">
        <f t="shared" si="125"/>
        <v>2</v>
      </c>
      <c r="I342" s="363">
        <f>所得計算シート!$C$23-1955000</f>
        <v>-1955000</v>
      </c>
      <c r="J342" s="361"/>
    </row>
    <row r="343" spans="1:10">
      <c r="A343" s="363">
        <f t="shared" ref="A343:B362" si="126">A333</f>
        <v>0</v>
      </c>
      <c r="B343" s="363">
        <f t="shared" si="126"/>
        <v>1300000</v>
      </c>
      <c r="C343" s="363" t="str">
        <v>６５歳未満</v>
      </c>
      <c r="D343" s="363" t="str">
        <v>１千万円超２千万円以下</v>
      </c>
      <c r="E343" s="376">
        <f>IF(A343&lt;=所得計算シート!$C$23,IF(所得計算シート!$C$23&lt;=B343,1,0),0)</f>
        <v>1</v>
      </c>
      <c r="F343" s="376">
        <f>IF($B$328&lt;=$B$324,1,0)</f>
        <v>0</v>
      </c>
      <c r="G343" s="376">
        <f t="shared" si="124"/>
        <v>0</v>
      </c>
      <c r="H343" s="363">
        <f t="shared" si="125"/>
        <v>1</v>
      </c>
      <c r="I343" s="363">
        <f>所得計算シート!$C$23-500000</f>
        <v>-500000</v>
      </c>
      <c r="J343" s="361"/>
    </row>
    <row r="344" spans="1:10">
      <c r="A344" s="363">
        <f t="shared" si="126"/>
        <v>1300001</v>
      </c>
      <c r="B344" s="363">
        <f t="shared" si="126"/>
        <v>4100000</v>
      </c>
      <c r="C344" s="363" t="str">
        <v>６５歳未満</v>
      </c>
      <c r="D344" s="363" t="str">
        <v>１千万円超２千万円以下</v>
      </c>
      <c r="E344" s="376">
        <f>IF(A344&lt;=所得計算シート!$C$23,IF(所得計算シート!$C$23&lt;=B344,1,0),0)</f>
        <v>0</v>
      </c>
      <c r="F344" s="376">
        <f>IF($B$328&lt;=$B$324,1,0)</f>
        <v>0</v>
      </c>
      <c r="G344" s="376">
        <f t="shared" si="124"/>
        <v>0</v>
      </c>
      <c r="H344" s="363">
        <f t="shared" si="125"/>
        <v>0</v>
      </c>
      <c r="I344" s="363">
        <f>所得計算シート!$C$23*0.75-175000</f>
        <v>-175000</v>
      </c>
      <c r="J344" s="361"/>
    </row>
    <row r="345" spans="1:10">
      <c r="A345" s="363">
        <f t="shared" si="126"/>
        <v>4100001</v>
      </c>
      <c r="B345" s="363">
        <f t="shared" si="126"/>
        <v>7700000</v>
      </c>
      <c r="C345" s="363" t="str">
        <v>６５歳未満</v>
      </c>
      <c r="D345" s="363" t="str">
        <v>１千万円超２千万円以下</v>
      </c>
      <c r="E345" s="376">
        <f>IF(A345&lt;=所得計算シート!$C$23,IF(所得計算シート!$C$23&lt;=B345,1,0),0)</f>
        <v>0</v>
      </c>
      <c r="F345" s="376">
        <f>IF($B$328&lt;=$B$324,1,0)</f>
        <v>0</v>
      </c>
      <c r="G345" s="376">
        <f t="shared" si="124"/>
        <v>0</v>
      </c>
      <c r="H345" s="363">
        <f t="shared" si="125"/>
        <v>0</v>
      </c>
      <c r="I345" s="363">
        <f>所得計算シート!$C$23*0.85-585000</f>
        <v>-585000</v>
      </c>
      <c r="J345" s="361"/>
    </row>
    <row r="346" spans="1:10">
      <c r="A346" s="363">
        <f t="shared" si="126"/>
        <v>7700001</v>
      </c>
      <c r="B346" s="363">
        <f t="shared" si="126"/>
        <v>10000000</v>
      </c>
      <c r="C346" s="363" t="str">
        <v>６５歳未満</v>
      </c>
      <c r="D346" s="363" t="str">
        <v>１千万円超２千万円以下</v>
      </c>
      <c r="E346" s="376">
        <f>IF(A346&lt;=所得計算シート!$C$23,IF(所得計算シート!$C$23&lt;=B346,1,0),0)</f>
        <v>0</v>
      </c>
      <c r="F346" s="376">
        <f>IF($B$328&lt;=$B$324,1,0)</f>
        <v>0</v>
      </c>
      <c r="G346" s="376">
        <f t="shared" si="124"/>
        <v>0</v>
      </c>
      <c r="H346" s="363">
        <f t="shared" si="125"/>
        <v>0</v>
      </c>
      <c r="I346" s="363">
        <f>所得計算シート!$C$23*0.95-1355000</f>
        <v>-1355000</v>
      </c>
      <c r="J346" s="361"/>
    </row>
    <row r="347" spans="1:10">
      <c r="A347" s="363">
        <f t="shared" si="126"/>
        <v>10000001</v>
      </c>
      <c r="B347" s="363">
        <f t="shared" si="126"/>
        <v>0</v>
      </c>
      <c r="C347" s="363" t="str">
        <v>６５歳未満</v>
      </c>
      <c r="D347" s="363" t="str">
        <v>１千万円超２千万円以下</v>
      </c>
      <c r="E347" s="376">
        <f>IF(A347&lt;=所得計算シート!$C$23,1,0)</f>
        <v>0</v>
      </c>
      <c r="F347" s="376">
        <f>IF($B$328&lt;=$B$324,1,0)</f>
        <v>0</v>
      </c>
      <c r="G347" s="376">
        <f t="shared" si="124"/>
        <v>0</v>
      </c>
      <c r="H347" s="363">
        <f t="shared" si="125"/>
        <v>0</v>
      </c>
      <c r="I347" s="363">
        <f>所得計算シート!$C$23-1855000</f>
        <v>-1855000</v>
      </c>
      <c r="J347" s="361"/>
    </row>
    <row r="348" spans="1:10">
      <c r="A348" s="363">
        <f t="shared" si="126"/>
        <v>0</v>
      </c>
      <c r="B348" s="363">
        <f t="shared" si="126"/>
        <v>3300000</v>
      </c>
      <c r="C348" s="363" t="str">
        <v>６５歳以上</v>
      </c>
      <c r="D348" s="363" t="str">
        <v>１千万円超２千万円以下</v>
      </c>
      <c r="E348" s="376">
        <f>IF(A348&lt;=所得計算シート!$C$23,IF(所得計算シート!$C$23&lt;=B348,1,0),0)</f>
        <v>1</v>
      </c>
      <c r="F348" s="376">
        <f>IF($B$329&gt;=$B$324,1,0)</f>
        <v>1</v>
      </c>
      <c r="G348" s="376">
        <f t="shared" si="124"/>
        <v>0</v>
      </c>
      <c r="H348" s="363">
        <f t="shared" si="125"/>
        <v>2</v>
      </c>
      <c r="I348" s="363">
        <f>所得計算シート!$C$23-1000000</f>
        <v>-1000000</v>
      </c>
      <c r="J348" s="361"/>
    </row>
    <row r="349" spans="1:10">
      <c r="A349" s="363">
        <f t="shared" si="126"/>
        <v>3300001</v>
      </c>
      <c r="B349" s="363">
        <f t="shared" si="126"/>
        <v>4100000</v>
      </c>
      <c r="C349" s="363" t="str">
        <v>６５歳以上</v>
      </c>
      <c r="D349" s="363" t="str">
        <v>１千万円超２千万円以下</v>
      </c>
      <c r="E349" s="376">
        <f>IF(A349&lt;=所得計算シート!$C$23,IF(所得計算シート!$C$23&lt;=B349,1,0),0)</f>
        <v>0</v>
      </c>
      <c r="F349" s="376">
        <f>IF($B$329&gt;=$B$324,1,0)</f>
        <v>1</v>
      </c>
      <c r="G349" s="376">
        <f t="shared" si="124"/>
        <v>0</v>
      </c>
      <c r="H349" s="363">
        <f t="shared" si="125"/>
        <v>1</v>
      </c>
      <c r="I349" s="363">
        <f>所得計算シート!$C$23*0.75-175000</f>
        <v>-175000</v>
      </c>
      <c r="J349" s="361"/>
    </row>
    <row r="350" spans="1:10">
      <c r="A350" s="363">
        <f t="shared" si="126"/>
        <v>4100001</v>
      </c>
      <c r="B350" s="363">
        <f t="shared" si="126"/>
        <v>7700000</v>
      </c>
      <c r="C350" s="363" t="str">
        <v>６５歳以上</v>
      </c>
      <c r="D350" s="363" t="str">
        <v>１千万円超２千万円以下</v>
      </c>
      <c r="E350" s="376">
        <f>IF(A350&lt;=所得計算シート!$C$23,IF(所得計算シート!$C$23&lt;=B350,1,0),0)</f>
        <v>0</v>
      </c>
      <c r="F350" s="376">
        <f>IF($B$329&gt;=$B$324,1,0)</f>
        <v>1</v>
      </c>
      <c r="G350" s="376">
        <f t="shared" si="124"/>
        <v>0</v>
      </c>
      <c r="H350" s="363">
        <f t="shared" si="125"/>
        <v>1</v>
      </c>
      <c r="I350" s="363">
        <f>所得計算シート!$C$23*0.85-585000</f>
        <v>-585000</v>
      </c>
      <c r="J350" s="361"/>
    </row>
    <row r="351" spans="1:10">
      <c r="A351" s="363">
        <f t="shared" si="126"/>
        <v>7700001</v>
      </c>
      <c r="B351" s="363">
        <f t="shared" si="126"/>
        <v>10000000</v>
      </c>
      <c r="C351" s="363" t="str">
        <v>６５歳以上</v>
      </c>
      <c r="D351" s="363" t="str">
        <v>１千万円超２千万円以下</v>
      </c>
      <c r="E351" s="376">
        <f>IF(A351&lt;=所得計算シート!$C$23,IF(所得計算シート!$C$23&lt;=B351,1,0),0)</f>
        <v>0</v>
      </c>
      <c r="F351" s="376">
        <f>IF($B$329&gt;=$B$324,1,0)</f>
        <v>1</v>
      </c>
      <c r="G351" s="376">
        <f t="shared" si="124"/>
        <v>0</v>
      </c>
      <c r="H351" s="363">
        <f t="shared" si="125"/>
        <v>1</v>
      </c>
      <c r="I351" s="363">
        <f>所得計算シート!$C$23*0.95-1355000</f>
        <v>-1355000</v>
      </c>
      <c r="J351" s="361"/>
    </row>
    <row r="352" spans="1:10">
      <c r="A352" s="363">
        <f t="shared" si="126"/>
        <v>10000001</v>
      </c>
      <c r="B352" s="363">
        <f t="shared" si="126"/>
        <v>0</v>
      </c>
      <c r="C352" s="363" t="str">
        <v>６５歳以上</v>
      </c>
      <c r="D352" s="363" t="str">
        <v>１千万円超２千万円以下</v>
      </c>
      <c r="E352" s="376">
        <f>IF(A352&lt;=所得計算シート!$C$23,1,0)</f>
        <v>0</v>
      </c>
      <c r="F352" s="376">
        <f>IF($B$329&gt;=$B$324,1,0)</f>
        <v>1</v>
      </c>
      <c r="G352" s="376">
        <f t="shared" si="124"/>
        <v>0</v>
      </c>
      <c r="H352" s="363">
        <f t="shared" si="125"/>
        <v>1</v>
      </c>
      <c r="I352" s="363">
        <f>所得計算シート!$C$23-1855000</f>
        <v>-1855000</v>
      </c>
      <c r="J352" s="361"/>
    </row>
    <row r="353" spans="1:10">
      <c r="A353" s="363">
        <f t="shared" si="126"/>
        <v>0</v>
      </c>
      <c r="B353" s="363">
        <f t="shared" si="126"/>
        <v>1300000</v>
      </c>
      <c r="C353" s="363" t="str">
        <v>６５歳未満</v>
      </c>
      <c r="D353" s="363" t="str">
        <v>２千万円超</v>
      </c>
      <c r="E353" s="376">
        <f>IF(A353&lt;=所得計算シート!$C$23,IF(所得計算シート!$C$23&lt;=B353,1,0),0)</f>
        <v>1</v>
      </c>
      <c r="F353" s="376">
        <f>IF($B$328&lt;=$B$324,1,0)</f>
        <v>0</v>
      </c>
      <c r="G353" s="376">
        <f t="shared" si="124"/>
        <v>0</v>
      </c>
      <c r="H353" s="363">
        <f t="shared" si="125"/>
        <v>1</v>
      </c>
      <c r="I353" s="363">
        <f>所得計算シート!$C$23-400000</f>
        <v>-400000</v>
      </c>
      <c r="J353" s="361"/>
    </row>
    <row r="354" spans="1:10">
      <c r="A354" s="363">
        <f t="shared" si="126"/>
        <v>1300001</v>
      </c>
      <c r="B354" s="363">
        <f t="shared" si="126"/>
        <v>4100000</v>
      </c>
      <c r="C354" s="363" t="str">
        <v>６５歳未満</v>
      </c>
      <c r="D354" s="363" t="str">
        <v>２千万円超</v>
      </c>
      <c r="E354" s="376">
        <f>IF(A354&lt;=所得計算シート!$C$23,IF(所得計算シート!$C$23&lt;=B354,1,0),0)</f>
        <v>0</v>
      </c>
      <c r="F354" s="376">
        <f>IF($B$328&lt;=$B$324,1,0)</f>
        <v>0</v>
      </c>
      <c r="G354" s="376">
        <f t="shared" si="124"/>
        <v>0</v>
      </c>
      <c r="H354" s="363">
        <f t="shared" si="125"/>
        <v>0</v>
      </c>
      <c r="I354" s="363">
        <f>所得計算シート!$C$23*0.75-75000</f>
        <v>-75000</v>
      </c>
      <c r="J354" s="361"/>
    </row>
    <row r="355" spans="1:10">
      <c r="A355" s="363">
        <f t="shared" si="126"/>
        <v>4100001</v>
      </c>
      <c r="B355" s="363">
        <f t="shared" si="126"/>
        <v>7700000</v>
      </c>
      <c r="C355" s="363" t="str">
        <v>６５歳未満</v>
      </c>
      <c r="D355" s="363" t="str">
        <v>２千万円超</v>
      </c>
      <c r="E355" s="376">
        <f>IF(A355&lt;=所得計算シート!$C$23,IF(所得計算シート!$C$23&lt;=B355,1,0),0)</f>
        <v>0</v>
      </c>
      <c r="F355" s="376">
        <f>IF($B$328&lt;=$B$324,1,0)</f>
        <v>0</v>
      </c>
      <c r="G355" s="376">
        <f t="shared" si="124"/>
        <v>0</v>
      </c>
      <c r="H355" s="363">
        <f t="shared" si="125"/>
        <v>0</v>
      </c>
      <c r="I355" s="363">
        <f>所得計算シート!$C$23*0.85-485000</f>
        <v>-485000</v>
      </c>
      <c r="J355" s="361"/>
    </row>
    <row r="356" spans="1:10">
      <c r="A356" s="363">
        <f t="shared" si="126"/>
        <v>7700001</v>
      </c>
      <c r="B356" s="363">
        <f t="shared" si="126"/>
        <v>10000000</v>
      </c>
      <c r="C356" s="363" t="str">
        <v>６５歳未満</v>
      </c>
      <c r="D356" s="363" t="str">
        <v>２千万円超</v>
      </c>
      <c r="E356" s="376">
        <f>IF(A356&lt;=所得計算シート!$C$23,IF(所得計算シート!$C$23&lt;=B356,1,0),0)</f>
        <v>0</v>
      </c>
      <c r="F356" s="376">
        <f>IF($B$328&lt;=$B$324,1,0)</f>
        <v>0</v>
      </c>
      <c r="G356" s="376">
        <f t="shared" si="124"/>
        <v>0</v>
      </c>
      <c r="H356" s="363">
        <f t="shared" si="125"/>
        <v>0</v>
      </c>
      <c r="I356" s="363">
        <f>所得計算シート!$C$23*0.95-1255000</f>
        <v>-1255000</v>
      </c>
      <c r="J356" s="361"/>
    </row>
    <row r="357" spans="1:10">
      <c r="A357" s="363">
        <f t="shared" si="126"/>
        <v>10000001</v>
      </c>
      <c r="B357" s="363">
        <f t="shared" si="126"/>
        <v>0</v>
      </c>
      <c r="C357" s="363" t="str">
        <v>６５歳未満</v>
      </c>
      <c r="D357" s="363" t="str">
        <v>２千万円超</v>
      </c>
      <c r="E357" s="376">
        <f>IF(A357&lt;=所得計算シート!$C$23,1,0)</f>
        <v>0</v>
      </c>
      <c r="F357" s="376">
        <f>IF($B$328&lt;=$B$324,1,0)</f>
        <v>0</v>
      </c>
      <c r="G357" s="376">
        <f t="shared" si="124"/>
        <v>0</v>
      </c>
      <c r="H357" s="363">
        <f t="shared" si="125"/>
        <v>0</v>
      </c>
      <c r="I357" s="363">
        <f>所得計算シート!$C$23-1755000</f>
        <v>-1755000</v>
      </c>
      <c r="J357" s="361"/>
    </row>
    <row r="358" spans="1:10">
      <c r="A358" s="363">
        <f t="shared" si="126"/>
        <v>0</v>
      </c>
      <c r="B358" s="363">
        <f t="shared" si="126"/>
        <v>3300000</v>
      </c>
      <c r="C358" s="363" t="str">
        <v>６５歳以上</v>
      </c>
      <c r="D358" s="363" t="str">
        <v>２千万円超</v>
      </c>
      <c r="E358" s="376">
        <f>IF(A358&lt;=所得計算シート!$C$23,IF(所得計算シート!$C$23&lt;=B358,1,0),0)</f>
        <v>1</v>
      </c>
      <c r="F358" s="376">
        <f>IF($B$329&gt;=$B$324,1,0)</f>
        <v>1</v>
      </c>
      <c r="G358" s="376">
        <f t="shared" si="124"/>
        <v>0</v>
      </c>
      <c r="H358" s="363">
        <f t="shared" si="125"/>
        <v>2</v>
      </c>
      <c r="I358" s="363">
        <f>所得計算シート!$C$23-900000</f>
        <v>-900000</v>
      </c>
      <c r="J358" s="361"/>
    </row>
    <row r="359" spans="1:10">
      <c r="A359" s="363">
        <f t="shared" si="126"/>
        <v>3300001</v>
      </c>
      <c r="B359" s="363">
        <f t="shared" si="126"/>
        <v>4100000</v>
      </c>
      <c r="C359" s="363" t="str">
        <v>６５歳以上</v>
      </c>
      <c r="D359" s="363" t="str">
        <v>２千万円超</v>
      </c>
      <c r="E359" s="376">
        <f>IF(A359&lt;=所得計算シート!$C$23,IF(所得計算シート!$C$23&lt;=B359,1,0),0)</f>
        <v>0</v>
      </c>
      <c r="F359" s="376">
        <f>IF($B$329&gt;=$B$324,1,0)</f>
        <v>1</v>
      </c>
      <c r="G359" s="376">
        <f t="shared" si="124"/>
        <v>0</v>
      </c>
      <c r="H359" s="363">
        <f t="shared" si="125"/>
        <v>1</v>
      </c>
      <c r="I359" s="363">
        <f>所得計算シート!$C$23*0.75-75000</f>
        <v>-75000</v>
      </c>
      <c r="J359" s="361"/>
    </row>
    <row r="360" spans="1:10">
      <c r="A360" s="363">
        <f t="shared" si="126"/>
        <v>4100001</v>
      </c>
      <c r="B360" s="363">
        <f t="shared" si="126"/>
        <v>7700000</v>
      </c>
      <c r="C360" s="363" t="str">
        <v>６５歳以上</v>
      </c>
      <c r="D360" s="363" t="str">
        <v>２千万円超</v>
      </c>
      <c r="E360" s="376">
        <f>IF(A360&lt;=所得計算シート!$C$23,IF(所得計算シート!$C$23&lt;=B360,1,0),0)</f>
        <v>0</v>
      </c>
      <c r="F360" s="376">
        <f>IF($B$329&gt;=$B$324,1,0)</f>
        <v>1</v>
      </c>
      <c r="G360" s="376">
        <f t="shared" si="124"/>
        <v>0</v>
      </c>
      <c r="H360" s="363">
        <f t="shared" si="125"/>
        <v>1</v>
      </c>
      <c r="I360" s="363">
        <f>所得計算シート!$C$23*0.85-485000</f>
        <v>-485000</v>
      </c>
      <c r="J360" s="361"/>
    </row>
    <row r="361" spans="1:10">
      <c r="A361" s="363">
        <f t="shared" si="126"/>
        <v>7700001</v>
      </c>
      <c r="B361" s="363">
        <f t="shared" si="126"/>
        <v>10000000</v>
      </c>
      <c r="C361" s="363" t="str">
        <v>６５歳以上</v>
      </c>
      <c r="D361" s="363" t="str">
        <v>２千万円超</v>
      </c>
      <c r="E361" s="376">
        <f>IF(A361&lt;=所得計算シート!$C$23,IF(所得計算シート!$C$23&lt;=B361,1,0),0)</f>
        <v>0</v>
      </c>
      <c r="F361" s="376">
        <f>IF($B$329&gt;=$B$324,1,0)</f>
        <v>1</v>
      </c>
      <c r="G361" s="376">
        <f t="shared" si="124"/>
        <v>0</v>
      </c>
      <c r="H361" s="363">
        <f t="shared" si="125"/>
        <v>1</v>
      </c>
      <c r="I361" s="363">
        <f>所得計算シート!$C$23*0.95-1255000</f>
        <v>-1255000</v>
      </c>
      <c r="J361" s="361"/>
    </row>
    <row r="362" spans="1:10">
      <c r="A362" s="363">
        <f t="shared" si="126"/>
        <v>10000001</v>
      </c>
      <c r="B362" s="363">
        <f t="shared" si="126"/>
        <v>0</v>
      </c>
      <c r="C362" s="363" t="str">
        <v>６５歳以上</v>
      </c>
      <c r="D362" s="363" t="str">
        <v>２千万円超</v>
      </c>
      <c r="E362" s="376">
        <f>IF(A362&lt;=所得計算シート!$C$23,1,0)</f>
        <v>0</v>
      </c>
      <c r="F362" s="376">
        <f>IF($B$329&gt;=$B$324,1,0)</f>
        <v>1</v>
      </c>
      <c r="G362" s="376">
        <f t="shared" si="124"/>
        <v>0</v>
      </c>
      <c r="H362" s="363">
        <f t="shared" si="125"/>
        <v>1</v>
      </c>
      <c r="I362" s="363">
        <f>所得計算シート!$C$23-1755000</f>
        <v>-1755000</v>
      </c>
      <c r="J362" s="361"/>
    </row>
    <row r="363" spans="1:10">
      <c r="A363" s="361"/>
      <c r="B363" s="361"/>
      <c r="C363" s="361"/>
      <c r="D363" s="361"/>
      <c r="E363" s="333"/>
      <c r="F363" s="333"/>
      <c r="G363" s="333"/>
      <c r="H363" s="361"/>
      <c r="I363" s="361"/>
      <c r="J363" s="361"/>
    </row>
    <row r="364" spans="1:10">
      <c r="A364" s="361"/>
      <c r="B364" s="361"/>
      <c r="C364" s="361"/>
      <c r="D364" s="361"/>
      <c r="E364" s="361"/>
      <c r="F364" s="361"/>
      <c r="G364" s="361"/>
      <c r="H364" s="361"/>
      <c r="I364" s="361"/>
      <c r="J364" s="361"/>
    </row>
    <row r="365" spans="1:10">
      <c r="A365" s="361" t="s">
        <v>225</v>
      </c>
      <c r="B365" s="361"/>
      <c r="C365" s="361"/>
      <c r="D365" s="361"/>
      <c r="E365" s="361"/>
      <c r="F365" s="361"/>
      <c r="G365" s="361"/>
      <c r="H365" s="361"/>
      <c r="I365" s="361"/>
      <c r="J365" s="361"/>
    </row>
    <row r="366" spans="1:10">
      <c r="A366" s="361"/>
      <c r="B366" s="361"/>
      <c r="C366" s="361"/>
      <c r="D366" s="361"/>
      <c r="E366" s="361"/>
      <c r="F366" s="361"/>
      <c r="G366" s="361"/>
      <c r="H366" s="361"/>
      <c r="I366" s="361"/>
      <c r="J366" s="361"/>
    </row>
    <row r="367" spans="1:10">
      <c r="A367" s="363" t="s">
        <v>158</v>
      </c>
      <c r="B367" s="363">
        <f>ROUNDUP((IF(所得計算シート!C9&gt;8500000,IF(所得計算シート!C9&gt;10000000,10000000,所得計算シート!C9)-8500000,0)*0.1),1)</f>
        <v>0</v>
      </c>
      <c r="C367" s="361"/>
      <c r="D367" s="361"/>
      <c r="E367" s="361"/>
      <c r="F367" s="361"/>
      <c r="G367" s="361"/>
      <c r="H367" s="361"/>
      <c r="I367" s="361"/>
      <c r="J367" s="361"/>
    </row>
    <row r="368" spans="1:10">
      <c r="A368" s="363" t="s">
        <v>286</v>
      </c>
      <c r="B368" s="363">
        <f>IF(所得計算シート!C12="該当",B367,0)</f>
        <v>0</v>
      </c>
      <c r="C368" s="361"/>
      <c r="D368" s="361"/>
      <c r="E368" s="361"/>
      <c r="F368" s="361"/>
      <c r="G368" s="361"/>
      <c r="H368" s="361"/>
      <c r="I368" s="361"/>
      <c r="J368" s="361"/>
    </row>
    <row r="369" spans="1:15">
      <c r="A369" s="361"/>
      <c r="B369" s="361"/>
      <c r="C369" s="361"/>
      <c r="D369" s="361"/>
      <c r="E369" s="361"/>
      <c r="F369" s="361"/>
      <c r="G369" s="361"/>
      <c r="H369" s="361"/>
      <c r="I369" s="361"/>
      <c r="J369" s="361"/>
    </row>
    <row r="370" spans="1:15">
      <c r="A370" s="361"/>
      <c r="B370" s="361"/>
      <c r="C370" s="361"/>
      <c r="D370" s="361"/>
      <c r="E370" s="361"/>
      <c r="F370" s="361"/>
      <c r="G370" s="361"/>
      <c r="H370" s="361"/>
      <c r="I370" s="361"/>
      <c r="J370" s="361"/>
    </row>
    <row r="371" spans="1:15">
      <c r="A371" s="361" t="s">
        <v>238</v>
      </c>
      <c r="B371" s="361"/>
      <c r="C371" s="361"/>
      <c r="D371" s="361"/>
      <c r="E371" s="361"/>
      <c r="F371" s="361"/>
      <c r="G371" s="361"/>
      <c r="H371" s="361"/>
      <c r="I371" s="361"/>
      <c r="J371" s="361"/>
    </row>
    <row r="372" spans="1:15">
      <c r="A372" s="361"/>
      <c r="B372" s="361"/>
      <c r="C372" s="361"/>
      <c r="D372" s="361"/>
      <c r="E372" s="361"/>
      <c r="F372" s="361"/>
      <c r="G372" s="361"/>
      <c r="H372" s="361"/>
      <c r="I372" s="361"/>
      <c r="J372" s="361"/>
    </row>
    <row r="373" spans="1:15">
      <c r="A373" s="364" t="s">
        <v>299</v>
      </c>
      <c r="B373" s="377">
        <f>IF(所得計算シート!L23&gt;0,MIN(100000,所得計算シート!L9-所得計算シート!L12),0)</f>
        <v>0</v>
      </c>
      <c r="C373" s="361"/>
      <c r="D373" s="361"/>
      <c r="E373" s="361"/>
      <c r="F373" s="361"/>
      <c r="G373" s="361"/>
      <c r="H373" s="361"/>
      <c r="I373" s="361"/>
      <c r="J373" s="361"/>
    </row>
    <row r="374" spans="1:15">
      <c r="A374" s="364" t="s">
        <v>254</v>
      </c>
      <c r="B374" s="377">
        <f>IF(所得計算シート!L9-所得計算シート!L12&gt;0,MIN(100000,所得計算シート!L23),0)</f>
        <v>0</v>
      </c>
      <c r="C374" s="361"/>
      <c r="D374" s="361"/>
      <c r="E374" s="361"/>
      <c r="F374" s="361"/>
      <c r="G374" s="361"/>
      <c r="H374" s="361"/>
      <c r="I374" s="361"/>
      <c r="J374" s="361"/>
    </row>
    <row r="375" spans="1:15">
      <c r="A375" s="364" t="s">
        <v>215</v>
      </c>
      <c r="B375" s="377">
        <f>(B373+B374)-100000</f>
        <v>-100000</v>
      </c>
      <c r="C375" s="361"/>
      <c r="D375" s="361"/>
      <c r="E375" s="361"/>
      <c r="F375" s="361"/>
      <c r="G375" s="361"/>
      <c r="H375" s="361"/>
      <c r="I375" s="361"/>
      <c r="J375" s="361"/>
    </row>
    <row r="376" spans="1:15">
      <c r="A376" s="361"/>
      <c r="B376" s="361"/>
      <c r="C376" s="361"/>
      <c r="D376" s="361"/>
      <c r="E376" s="361"/>
      <c r="F376" s="361"/>
      <c r="G376" s="361"/>
      <c r="H376" s="361"/>
      <c r="I376" s="361"/>
      <c r="J376" s="361"/>
    </row>
    <row r="377" spans="1:15">
      <c r="A377" s="361"/>
      <c r="B377" s="361"/>
      <c r="C377" s="361"/>
      <c r="D377" s="361"/>
      <c r="E377" s="361"/>
      <c r="F377" s="361"/>
      <c r="G377" s="361"/>
      <c r="H377" s="361"/>
      <c r="I377" s="361"/>
      <c r="J377" s="361"/>
    </row>
    <row r="378" spans="1:15">
      <c r="A378" s="361"/>
      <c r="B378" s="361"/>
      <c r="C378" s="361"/>
      <c r="D378" s="361"/>
      <c r="E378" s="361"/>
      <c r="F378" s="361"/>
      <c r="G378" s="361"/>
      <c r="H378" s="361"/>
      <c r="I378" s="361"/>
      <c r="J378" s="361"/>
    </row>
    <row r="379" spans="1:15">
      <c r="A379" s="361"/>
      <c r="B379" s="361"/>
      <c r="C379" s="361"/>
      <c r="D379" s="361"/>
      <c r="E379" s="361"/>
      <c r="F379" s="361"/>
      <c r="G379" s="361"/>
      <c r="H379" s="361"/>
      <c r="I379" s="361"/>
      <c r="J379" s="361"/>
    </row>
    <row r="380" spans="1:15">
      <c r="A380" s="343" t="s">
        <v>264</v>
      </c>
      <c r="B380" s="361"/>
      <c r="C380" s="361"/>
      <c r="D380" s="361"/>
      <c r="E380" s="361"/>
      <c r="F380" s="361"/>
      <c r="G380" s="361"/>
      <c r="H380" s="361"/>
      <c r="I380" s="361"/>
      <c r="J380" s="361"/>
    </row>
    <row r="381" spans="1:15">
      <c r="A381" s="361"/>
      <c r="B381" s="361"/>
      <c r="C381" s="361"/>
      <c r="D381" s="361"/>
      <c r="E381" s="361"/>
      <c r="F381" s="361"/>
      <c r="G381" s="361"/>
      <c r="H381" s="361"/>
      <c r="I381" s="361"/>
      <c r="J381" s="361"/>
    </row>
    <row r="382" spans="1:15">
      <c r="A382" s="344" t="s">
        <v>157</v>
      </c>
      <c r="C382" s="333"/>
      <c r="D382" s="333"/>
      <c r="E382" s="333"/>
      <c r="F382" s="333"/>
      <c r="G382" s="333"/>
      <c r="H382" s="333"/>
      <c r="I382" s="333"/>
      <c r="J382" s="333"/>
      <c r="K382" s="333"/>
      <c r="L382" s="333"/>
    </row>
    <row r="383" spans="1:15">
      <c r="C383" s="333"/>
      <c r="D383" s="333"/>
      <c r="E383" s="333"/>
      <c r="F383" s="333"/>
      <c r="G383" s="333"/>
      <c r="H383" s="333"/>
      <c r="I383" s="333"/>
      <c r="J383" s="333"/>
      <c r="K383" s="333"/>
      <c r="L383" s="333"/>
    </row>
    <row r="384" spans="1:15">
      <c r="E384" s="333" t="s">
        <v>249</v>
      </c>
      <c r="G384" s="333" t="s">
        <v>236</v>
      </c>
      <c r="H384" s="333" t="s">
        <v>250</v>
      </c>
      <c r="I384" s="333" t="s">
        <v>126</v>
      </c>
      <c r="J384" s="333" t="s">
        <v>56</v>
      </c>
      <c r="K384" s="330" t="s">
        <v>176</v>
      </c>
      <c r="L384" s="333"/>
      <c r="M384" s="333"/>
      <c r="N384" s="333"/>
      <c r="O384" s="333"/>
    </row>
    <row r="385" spans="1:16">
      <c r="A385" s="345"/>
      <c r="B385" s="345" t="s">
        <v>103</v>
      </c>
      <c r="C385" s="345" t="s">
        <v>14</v>
      </c>
      <c r="D385" s="345" t="s">
        <v>252</v>
      </c>
      <c r="E385" s="345" t="s">
        <v>187</v>
      </c>
      <c r="F385" s="345" t="s">
        <v>188</v>
      </c>
      <c r="G385" s="345" t="s">
        <v>189</v>
      </c>
      <c r="H385" s="345" t="s">
        <v>191</v>
      </c>
      <c r="I385" s="345" t="s">
        <v>251</v>
      </c>
      <c r="J385" s="345" t="s">
        <v>206</v>
      </c>
      <c r="K385" s="376" t="s">
        <v>279</v>
      </c>
      <c r="L385" s="333"/>
      <c r="M385" s="333"/>
      <c r="N385" s="333"/>
      <c r="O385" s="333"/>
      <c r="P385" s="333"/>
    </row>
    <row r="386" spans="1:16">
      <c r="A386" s="346" t="s">
        <v>81</v>
      </c>
      <c r="B386" s="346">
        <f>B80</f>
        <v>0</v>
      </c>
      <c r="C386" s="346">
        <f>K80</f>
        <v>0</v>
      </c>
      <c r="D386" s="346">
        <f>IF(試算シート!I8="",0,1)</f>
        <v>0</v>
      </c>
      <c r="E386" s="346">
        <f>IF(B386=1,IF(C386&gt;=$M$37,IF($N$37&gt;=C386,1,0),0),0)</f>
        <v>0</v>
      </c>
      <c r="F386" s="346">
        <f>IF(B386=1,IF(C386&gt;=$M$38,IF($N$38&gt;=C386,1,0),0),0)</f>
        <v>0</v>
      </c>
      <c r="G386" s="346">
        <f>IF(B386=1,IF(C386&gt;=$M$39,IF($N$39&gt;=C386,1,0),0),0)</f>
        <v>0</v>
      </c>
      <c r="H386" s="346">
        <f>IF(B386=1,IF(C386&gt;=$M$40,IF($N$40&gt;=C386,1,0),0),0)</f>
        <v>0</v>
      </c>
      <c r="I386" s="346">
        <f>IF(F386=1,IF(D386=1,0,1),0)</f>
        <v>0</v>
      </c>
      <c r="J386" s="346">
        <f>IF(C386=0,0,IF(D386=1,IF(COUNTIF(E386:G387,1)&gt;0,0,1),0))</f>
        <v>0</v>
      </c>
      <c r="K386" s="345">
        <f>IF(B386=1,IF(C386=0,1,0),0)</f>
        <v>0</v>
      </c>
      <c r="L386" s="333"/>
      <c r="M386" s="333"/>
      <c r="N386" s="333"/>
      <c r="O386" s="333"/>
      <c r="P386" s="333"/>
    </row>
    <row r="387" spans="1:16">
      <c r="A387" s="348"/>
      <c r="B387" s="348"/>
      <c r="C387" s="348"/>
      <c r="D387" s="348"/>
      <c r="E387" s="348"/>
      <c r="F387" s="348"/>
      <c r="G387" s="348"/>
      <c r="H387" s="348"/>
      <c r="I387" s="348"/>
      <c r="J387" s="348"/>
      <c r="K387" s="345"/>
      <c r="L387" s="333"/>
      <c r="M387" s="333"/>
      <c r="N387" s="333"/>
      <c r="O387" s="333"/>
      <c r="P387" s="333"/>
    </row>
    <row r="388" spans="1:16">
      <c r="A388" s="346" t="s">
        <v>22</v>
      </c>
      <c r="B388" s="346">
        <f>B82</f>
        <v>0</v>
      </c>
      <c r="C388" s="346">
        <f>K82</f>
        <v>0</v>
      </c>
      <c r="D388" s="346">
        <f>IF(試算シート!I10="",0,1)</f>
        <v>0</v>
      </c>
      <c r="E388" s="346">
        <f>IF(B388=1,IF(C388&gt;=$M$37,IF($N$37&gt;=C388,1,0),0),0)</f>
        <v>0</v>
      </c>
      <c r="F388" s="346">
        <f>IF(B388=1,IF(C388&gt;=$M$38,IF($N$38&gt;=C388,1,0),0),0)</f>
        <v>0</v>
      </c>
      <c r="G388" s="346">
        <f>IF(B388=1,IF(C388&gt;=$M$39,IF($N$39&gt;=C388,1,0),0),0)</f>
        <v>0</v>
      </c>
      <c r="H388" s="346">
        <f>IF(B388=1,IF(C388&gt;=$M$40,IF($N$40&gt;=C388,1,0),0),0)</f>
        <v>0</v>
      </c>
      <c r="I388" s="346">
        <f>IF(F388=1,IF(D388=1,0,1),0)</f>
        <v>0</v>
      </c>
      <c r="J388" s="346">
        <f>IF(C388=0,0,IF(D388=1,IF(COUNTIF(E388:G389,1)&gt;0,0,1),0))</f>
        <v>0</v>
      </c>
      <c r="K388" s="345">
        <f>IF(B388=1,IF(C388=0,1,0),0)</f>
        <v>0</v>
      </c>
      <c r="L388" s="333"/>
      <c r="M388" s="333"/>
      <c r="N388" s="333"/>
      <c r="O388" s="333"/>
      <c r="P388" s="333"/>
    </row>
    <row r="389" spans="1:16">
      <c r="A389" s="348"/>
      <c r="B389" s="348"/>
      <c r="C389" s="348"/>
      <c r="D389" s="348"/>
      <c r="E389" s="348"/>
      <c r="F389" s="348"/>
      <c r="G389" s="348"/>
      <c r="H389" s="348"/>
      <c r="I389" s="348"/>
      <c r="J389" s="348"/>
      <c r="K389" s="345"/>
      <c r="L389" s="333"/>
      <c r="M389" s="333"/>
      <c r="N389" s="333"/>
      <c r="O389" s="333"/>
      <c r="P389" s="333"/>
    </row>
    <row r="390" spans="1:16">
      <c r="A390" s="346" t="s">
        <v>25</v>
      </c>
      <c r="B390" s="346">
        <f>B84</f>
        <v>0</v>
      </c>
      <c r="C390" s="346">
        <f>K84</f>
        <v>0</v>
      </c>
      <c r="D390" s="346">
        <f>IF(試算シート!I12="",0,1)</f>
        <v>0</v>
      </c>
      <c r="E390" s="346">
        <f>IF(B390=1,IF(C390&gt;=$M$37,IF($N$37&gt;=C390,1,0),0),0)</f>
        <v>0</v>
      </c>
      <c r="F390" s="346">
        <f>IF(B390=1,IF(C390&gt;=$M$38,IF($N$38&gt;=C390,1,0),0),0)</f>
        <v>0</v>
      </c>
      <c r="G390" s="346">
        <f>IF(B390=1,IF(C390&gt;=$M$39,IF($N$39&gt;=C390,1,0),0),0)</f>
        <v>0</v>
      </c>
      <c r="H390" s="346">
        <f>IF(B390=1,IF(C390&gt;=$M$40,IF($N$40&gt;=C390,1,0),0),0)</f>
        <v>0</v>
      </c>
      <c r="I390" s="346">
        <f>IF(F390=1,IF(D390=1,0,1),0)</f>
        <v>0</v>
      </c>
      <c r="J390" s="346">
        <f>IF(C390=0,0,IF(D390=1,IF(COUNTIF(E390:G391,1)&gt;0,0,1),0))</f>
        <v>0</v>
      </c>
      <c r="K390" s="345">
        <f>IF(B390=1,IF(C390=0,1,0),0)</f>
        <v>0</v>
      </c>
      <c r="L390" s="333"/>
      <c r="M390" s="333"/>
      <c r="N390" s="333"/>
      <c r="O390" s="333"/>
      <c r="P390" s="333"/>
    </row>
    <row r="391" spans="1:16">
      <c r="A391" s="348"/>
      <c r="B391" s="348"/>
      <c r="C391" s="348"/>
      <c r="D391" s="348"/>
      <c r="E391" s="348"/>
      <c r="F391" s="348"/>
      <c r="G391" s="348"/>
      <c r="H391" s="348"/>
      <c r="I391" s="348"/>
      <c r="J391" s="348"/>
      <c r="K391" s="345"/>
      <c r="L391" s="333"/>
      <c r="M391" s="333"/>
      <c r="N391" s="333"/>
      <c r="O391" s="333"/>
      <c r="P391" s="333"/>
    </row>
    <row r="392" spans="1:16">
      <c r="A392" s="346" t="s">
        <v>29</v>
      </c>
      <c r="B392" s="346">
        <f>B86</f>
        <v>0</v>
      </c>
      <c r="C392" s="346">
        <f>K86</f>
        <v>0</v>
      </c>
      <c r="D392" s="346">
        <f>IF(試算シート!I14="",0,1)</f>
        <v>0</v>
      </c>
      <c r="E392" s="346">
        <f>IF(B392=1,IF(C392&gt;=$M$37,IF($N$37&gt;=C392,1,0),0),0)</f>
        <v>0</v>
      </c>
      <c r="F392" s="346">
        <f>IF(B392=1,IF(C392&gt;=$M$38,IF($N$38&gt;=C392,1,0),0),0)</f>
        <v>0</v>
      </c>
      <c r="G392" s="346">
        <f>IF(B392=1,IF(C392&gt;=$M$39,IF($N$39&gt;=C392,1,0),0),0)</f>
        <v>0</v>
      </c>
      <c r="H392" s="346">
        <f>IF(B392=1,IF(C392&gt;=$M$40,IF($N$40&gt;=C392,1,0),0),0)</f>
        <v>0</v>
      </c>
      <c r="I392" s="346">
        <f>IF(F392=1,IF(D392=1,0,1),0)</f>
        <v>0</v>
      </c>
      <c r="J392" s="346">
        <f>IF(C392=0,0,IF(D392=1,IF(COUNTIF(E392:G393,1)&gt;0,0,1),0))</f>
        <v>0</v>
      </c>
      <c r="K392" s="345">
        <f>IF(B392=1,IF(C392=0,1,0),0)</f>
        <v>0</v>
      </c>
      <c r="L392" s="333"/>
      <c r="M392" s="333"/>
      <c r="N392" s="333"/>
      <c r="O392" s="333"/>
      <c r="P392" s="333"/>
    </row>
    <row r="393" spans="1:16">
      <c r="A393" s="348"/>
      <c r="B393" s="348"/>
      <c r="C393" s="348"/>
      <c r="D393" s="348"/>
      <c r="E393" s="348"/>
      <c r="F393" s="348"/>
      <c r="G393" s="348"/>
      <c r="H393" s="348"/>
      <c r="I393" s="348"/>
      <c r="J393" s="348"/>
      <c r="K393" s="345"/>
      <c r="L393" s="333"/>
      <c r="M393" s="333"/>
      <c r="N393" s="333"/>
      <c r="O393" s="333"/>
      <c r="P393" s="333"/>
    </row>
    <row r="394" spans="1:16">
      <c r="A394" s="346" t="s">
        <v>34</v>
      </c>
      <c r="B394" s="346">
        <f>B88</f>
        <v>0</v>
      </c>
      <c r="C394" s="346">
        <f>K88</f>
        <v>0</v>
      </c>
      <c r="D394" s="346">
        <f>IF(試算シート!I16="",0,1)</f>
        <v>0</v>
      </c>
      <c r="E394" s="346">
        <f>IF(B394=1,IF(C394&gt;=$M$37,IF($N$37&gt;=C394,1,0),0),0)</f>
        <v>0</v>
      </c>
      <c r="F394" s="346">
        <f>IF(B394=1,IF(C394&gt;=$M$38,IF($N$38&gt;=C394,1,0),0),0)</f>
        <v>0</v>
      </c>
      <c r="G394" s="346">
        <f>IF(B394=1,IF(C394&gt;=$M$39,IF($N$39&gt;=C394,1,0),0),0)</f>
        <v>0</v>
      </c>
      <c r="H394" s="346">
        <f>IF(B394=1,IF(C394&gt;=$M$40,IF($N$40&gt;=C394,1,0),0),0)</f>
        <v>0</v>
      </c>
      <c r="I394" s="346">
        <f>IF(F394=1,IF(D394=1,0,1),0)</f>
        <v>0</v>
      </c>
      <c r="J394" s="346">
        <f>IF(C394=0,0,IF(D394=1,IF(COUNTIF(E394:G395,1)&gt;0,0,1),0))</f>
        <v>0</v>
      </c>
      <c r="K394" s="345">
        <f>IF(B394=1,IF(C394=0,1,0),0)</f>
        <v>0</v>
      </c>
      <c r="L394" s="333"/>
      <c r="M394" s="333"/>
      <c r="N394" s="333"/>
      <c r="O394" s="333"/>
      <c r="P394" s="333"/>
    </row>
    <row r="395" spans="1:16">
      <c r="A395" s="348"/>
      <c r="B395" s="348"/>
      <c r="C395" s="348"/>
      <c r="D395" s="348"/>
      <c r="E395" s="348"/>
      <c r="F395" s="348"/>
      <c r="G395" s="348"/>
      <c r="H395" s="348"/>
      <c r="I395" s="348"/>
      <c r="J395" s="348"/>
      <c r="K395" s="345"/>
      <c r="L395" s="333"/>
      <c r="M395" s="333"/>
      <c r="N395" s="333"/>
      <c r="O395" s="333"/>
      <c r="P395" s="333"/>
    </row>
    <row r="396" spans="1:16">
      <c r="A396" s="346" t="s">
        <v>38</v>
      </c>
      <c r="B396" s="346">
        <f>B90</f>
        <v>0</v>
      </c>
      <c r="C396" s="346">
        <f>K90</f>
        <v>0</v>
      </c>
      <c r="D396" s="346">
        <f>IF(試算シート!I18="",0,1)</f>
        <v>0</v>
      </c>
      <c r="E396" s="346">
        <f>IF(B396=1,IF(C396&gt;=$M$37,IF($N$37&gt;=C396,1,0),0),0)</f>
        <v>0</v>
      </c>
      <c r="F396" s="346">
        <f>IF(B396=1,IF(C396&gt;=$M$38,IF($N$38&gt;=C396,1,0),0),0)</f>
        <v>0</v>
      </c>
      <c r="G396" s="346">
        <f>IF(B396=1,IF(C396&gt;=$M$39,IF($N$39&gt;=C396,1,0),0),0)</f>
        <v>0</v>
      </c>
      <c r="H396" s="346">
        <f>IF(B396=1,IF(C396&gt;=$M$40,IF($N$40&gt;=C396,1,0),0),0)</f>
        <v>0</v>
      </c>
      <c r="I396" s="346">
        <f>IF(F396=1,IF(D396=1,0,1),0)</f>
        <v>0</v>
      </c>
      <c r="J396" s="346">
        <f>IF(C396=0,0,IF(D396=1,IF(COUNTIF(E396:G397,1)&gt;0,0,1),0))</f>
        <v>0</v>
      </c>
      <c r="K396" s="345">
        <f>IF(B396=1,IF(C396=0,1,0),0)</f>
        <v>0</v>
      </c>
      <c r="L396" s="333"/>
      <c r="M396" s="333"/>
      <c r="N396" s="333"/>
      <c r="O396" s="333"/>
      <c r="P396" s="333"/>
    </row>
    <row r="397" spans="1:16">
      <c r="A397" s="348"/>
      <c r="B397" s="348"/>
      <c r="C397" s="348"/>
      <c r="D397" s="348"/>
      <c r="E397" s="348"/>
      <c r="F397" s="348"/>
      <c r="G397" s="348"/>
      <c r="H397" s="348"/>
      <c r="I397" s="348"/>
      <c r="J397" s="348"/>
      <c r="K397" s="345"/>
      <c r="L397" s="333"/>
      <c r="M397" s="333"/>
      <c r="N397" s="333"/>
      <c r="O397" s="333"/>
      <c r="P397" s="333"/>
    </row>
    <row r="398" spans="1:16">
      <c r="A398" s="346" t="s">
        <v>23</v>
      </c>
      <c r="B398" s="346">
        <f>B92</f>
        <v>0</v>
      </c>
      <c r="C398" s="346">
        <f>K92</f>
        <v>0</v>
      </c>
      <c r="D398" s="346">
        <f>IF(試算シート!I20="",0,1)</f>
        <v>0</v>
      </c>
      <c r="E398" s="346">
        <f>IF(B398=1,IF(C398&gt;=$M$37,IF($N$37&gt;=C398,1,0),0),0)</f>
        <v>0</v>
      </c>
      <c r="F398" s="346">
        <f>IF(B398=1,IF(C398&gt;=$M$38,IF($N$38&gt;=C398,1,0),0),0)</f>
        <v>0</v>
      </c>
      <c r="G398" s="346">
        <f>IF(B398=1,IF(C398&gt;=$M$39,IF($N$39&gt;=C398,1,0),0),0)</f>
        <v>0</v>
      </c>
      <c r="H398" s="346">
        <f>IF(B398=1,IF(C398&gt;=$M$40,IF($N$40&gt;=C398,1,0),0),0)</f>
        <v>0</v>
      </c>
      <c r="I398" s="346">
        <f>IF(F398=1,IF(D398=1,0,1),0)</f>
        <v>0</v>
      </c>
      <c r="J398" s="346">
        <f>IF(C398=0,0,IF(D398=1,IF(COUNTIF(E398:G399,1)&gt;0,0,1),0))</f>
        <v>0</v>
      </c>
      <c r="K398" s="345">
        <f>IF(B398=1,IF(C398=0,1,0),0)</f>
        <v>0</v>
      </c>
      <c r="L398" s="333"/>
      <c r="M398" s="333"/>
      <c r="N398" s="333"/>
      <c r="O398" s="333"/>
      <c r="P398" s="333"/>
    </row>
    <row r="399" spans="1:16">
      <c r="A399" s="348"/>
      <c r="B399" s="348"/>
      <c r="C399" s="348"/>
      <c r="D399" s="348"/>
      <c r="E399" s="348"/>
      <c r="F399" s="348"/>
      <c r="G399" s="348"/>
      <c r="H399" s="348"/>
      <c r="I399" s="348"/>
      <c r="J399" s="348"/>
      <c r="K399" s="345"/>
      <c r="L399" s="333"/>
      <c r="M399" s="333"/>
      <c r="N399" s="333"/>
      <c r="O399" s="333"/>
      <c r="P399" s="333"/>
    </row>
    <row r="400" spans="1:16">
      <c r="A400" s="346" t="s">
        <v>9</v>
      </c>
      <c r="B400" s="346">
        <f>B94</f>
        <v>0</v>
      </c>
      <c r="C400" s="346">
        <f>K94</f>
        <v>0</v>
      </c>
      <c r="D400" s="346">
        <f>IF(試算シート!I22="",0,1)</f>
        <v>0</v>
      </c>
      <c r="E400" s="346">
        <f>IF(B400=1,IF(C400&gt;=$M$37,IF($N$37&gt;=C400,1,0),0),0)</f>
        <v>0</v>
      </c>
      <c r="F400" s="346">
        <f>IF(B400=1,IF(C400&gt;=$M$38,IF($N$38&gt;=C400,1,0),0),0)</f>
        <v>0</v>
      </c>
      <c r="G400" s="346">
        <f>IF(B400=1,IF(C400&gt;=$M$39,IF($N$39&gt;=C400,1,0),0),0)</f>
        <v>0</v>
      </c>
      <c r="H400" s="346">
        <f>IF(B400=1,IF(C400&gt;=$M$40,IF($N$40&gt;=C400,1,0),0),0)</f>
        <v>0</v>
      </c>
      <c r="I400" s="346">
        <f>IF(F400=1,IF(D400=1,0,1),0)</f>
        <v>0</v>
      </c>
      <c r="J400" s="346">
        <f>IF(C400=0,0,IF(D400=1,IF(COUNTIF(E400:G401,1)&gt;0,0,1),0))</f>
        <v>0</v>
      </c>
      <c r="K400" s="345">
        <f>IF(B400=1,IF(C400=0,1,0),0)</f>
        <v>0</v>
      </c>
      <c r="L400" s="333"/>
      <c r="M400" s="333"/>
      <c r="N400" s="333"/>
      <c r="O400" s="333"/>
      <c r="P400" s="333"/>
    </row>
    <row r="401" spans="1:16">
      <c r="A401" s="348"/>
      <c r="B401" s="348"/>
      <c r="C401" s="348"/>
      <c r="D401" s="348"/>
      <c r="E401" s="348"/>
      <c r="F401" s="348"/>
      <c r="G401" s="348"/>
      <c r="H401" s="348"/>
      <c r="I401" s="348"/>
      <c r="J401" s="348"/>
      <c r="K401" s="345"/>
      <c r="L401" s="333"/>
      <c r="M401" s="333"/>
      <c r="N401" s="333"/>
      <c r="O401" s="333"/>
      <c r="P401" s="333"/>
    </row>
    <row r="402" spans="1:16">
      <c r="A402" s="345" t="s">
        <v>60</v>
      </c>
      <c r="B402" s="345">
        <f t="shared" ref="B402:K402" si="127">SUM(B386:B401)</f>
        <v>0</v>
      </c>
      <c r="C402" s="345">
        <f t="shared" si="127"/>
        <v>0</v>
      </c>
      <c r="D402" s="345">
        <f t="shared" si="127"/>
        <v>0</v>
      </c>
      <c r="E402" s="345">
        <f t="shared" si="127"/>
        <v>0</v>
      </c>
      <c r="F402" s="345">
        <f t="shared" si="127"/>
        <v>0</v>
      </c>
      <c r="G402" s="345">
        <f t="shared" si="127"/>
        <v>0</v>
      </c>
      <c r="H402" s="345">
        <f t="shared" si="127"/>
        <v>0</v>
      </c>
      <c r="I402" s="345">
        <f t="shared" si="127"/>
        <v>0</v>
      </c>
      <c r="J402" s="345">
        <f t="shared" si="127"/>
        <v>0</v>
      </c>
      <c r="K402" s="345">
        <f t="shared" si="127"/>
        <v>0</v>
      </c>
      <c r="L402" s="333"/>
      <c r="M402" s="333"/>
      <c r="N402" s="333"/>
      <c r="O402" s="333"/>
      <c r="P402" s="333"/>
    </row>
    <row r="403" spans="1:16">
      <c r="A403" s="333"/>
      <c r="B403" s="333"/>
      <c r="C403" s="333"/>
      <c r="D403" s="333"/>
      <c r="E403" s="333"/>
      <c r="F403" s="333"/>
      <c r="G403" s="333"/>
      <c r="H403" s="333"/>
      <c r="I403" s="333"/>
      <c r="J403" s="333"/>
      <c r="K403" s="333"/>
      <c r="L403" s="333"/>
    </row>
    <row r="404" spans="1:16">
      <c r="A404" s="333"/>
      <c r="B404" s="333"/>
      <c r="C404" s="333"/>
      <c r="D404" s="333"/>
      <c r="E404" s="333"/>
      <c r="F404" s="333"/>
      <c r="G404" s="333"/>
      <c r="H404" s="333"/>
      <c r="I404" s="333"/>
      <c r="J404" s="333"/>
      <c r="K404" s="333"/>
      <c r="L404" s="333"/>
    </row>
    <row r="405" spans="1:16">
      <c r="A405" s="333"/>
      <c r="B405" s="333"/>
      <c r="C405" s="333"/>
      <c r="D405" s="333"/>
      <c r="E405" s="333"/>
      <c r="F405" s="333"/>
      <c r="G405" s="333"/>
      <c r="H405" s="333"/>
      <c r="I405" s="333"/>
      <c r="J405" s="333"/>
      <c r="K405" s="333"/>
      <c r="L405" s="333"/>
    </row>
    <row r="406" spans="1:16">
      <c r="B406" s="330" t="s">
        <v>53</v>
      </c>
      <c r="C406" s="330" t="s">
        <v>17</v>
      </c>
      <c r="D406" s="330" t="s">
        <v>331</v>
      </c>
      <c r="E406" s="330" t="s">
        <v>277</v>
      </c>
      <c r="F406" s="330" t="s">
        <v>330</v>
      </c>
      <c r="G406" s="330" t="s">
        <v>332</v>
      </c>
      <c r="H406" s="333"/>
      <c r="I406" s="330" t="s">
        <v>126</v>
      </c>
    </row>
    <row r="407" spans="1:16">
      <c r="A407" s="345" t="s">
        <v>18</v>
      </c>
      <c r="B407" s="378" t="str">
        <f>試算シート!I7</f>
        <v/>
      </c>
      <c r="C407" s="378">
        <f>試算シート!J7</f>
        <v>0</v>
      </c>
      <c r="D407" s="345">
        <f>試算シート!X7</f>
        <v>0</v>
      </c>
      <c r="E407" s="378">
        <f t="shared" ref="E407:E424" si="128">IFERROR(IF((VLOOKUP(B407,$A$428:$B$440,2,0)-VLOOKUP(C407,$A$428:$B$440,2,0))&lt;0,1,0),0)</f>
        <v>0</v>
      </c>
      <c r="F407" s="378">
        <f t="shared" ref="F407:F424" si="129">IF(B407=0,IF(C407=0,0,1),0)</f>
        <v>0</v>
      </c>
      <c r="G407" s="346">
        <f>IF(D408=0,0,IF(D407=D408,0,1))</f>
        <v>0</v>
      </c>
      <c r="H407" s="333"/>
      <c r="I407" s="345" t="s">
        <v>271</v>
      </c>
      <c r="J407" s="378">
        <f>試算シート!X23</f>
        <v>0</v>
      </c>
    </row>
    <row r="408" spans="1:16">
      <c r="A408" s="345"/>
      <c r="B408" s="378" t="str">
        <f>試算シート!I8</f>
        <v/>
      </c>
      <c r="C408" s="378">
        <f>試算シート!J8</f>
        <v>0</v>
      </c>
      <c r="D408" s="345">
        <f>試算シート!X8</f>
        <v>0</v>
      </c>
      <c r="E408" s="378">
        <f t="shared" si="128"/>
        <v>0</v>
      </c>
      <c r="F408" s="378">
        <f t="shared" si="129"/>
        <v>0</v>
      </c>
      <c r="G408" s="348"/>
      <c r="H408" s="333"/>
      <c r="I408" s="345" t="s">
        <v>272</v>
      </c>
      <c r="J408" s="378">
        <f>試算シート!X24</f>
        <v>0</v>
      </c>
    </row>
    <row r="409" spans="1:16">
      <c r="A409" s="345" t="s">
        <v>22</v>
      </c>
      <c r="B409" s="378" t="str">
        <f>試算シート!I9</f>
        <v/>
      </c>
      <c r="C409" s="378">
        <f>試算シート!J9</f>
        <v>0</v>
      </c>
      <c r="D409" s="345">
        <f>試算シート!X9</f>
        <v>0</v>
      </c>
      <c r="E409" s="378">
        <f t="shared" si="128"/>
        <v>0</v>
      </c>
      <c r="F409" s="378">
        <f t="shared" si="129"/>
        <v>0</v>
      </c>
      <c r="G409" s="346">
        <f>IF(D410=0,0,IF(D409=D410,0,1))</f>
        <v>0</v>
      </c>
      <c r="H409" s="333"/>
      <c r="I409" s="345" t="s">
        <v>60</v>
      </c>
      <c r="J409" s="378">
        <f>IF(J407&gt;0,IF(J408&gt;0,6,0),0)</f>
        <v>0</v>
      </c>
    </row>
    <row r="410" spans="1:16">
      <c r="A410" s="345"/>
      <c r="B410" s="378" t="str">
        <f>試算シート!I10</f>
        <v/>
      </c>
      <c r="C410" s="378">
        <f>試算シート!J10</f>
        <v>0</v>
      </c>
      <c r="D410" s="345">
        <f>試算シート!X10</f>
        <v>0</v>
      </c>
      <c r="E410" s="378">
        <f t="shared" si="128"/>
        <v>0</v>
      </c>
      <c r="F410" s="378">
        <f t="shared" si="129"/>
        <v>0</v>
      </c>
      <c r="G410" s="348"/>
      <c r="H410" s="333"/>
      <c r="I410" s="333"/>
      <c r="J410" s="333"/>
    </row>
    <row r="411" spans="1:16">
      <c r="A411" s="345" t="s">
        <v>25</v>
      </c>
      <c r="B411" s="378" t="str">
        <f>試算シート!I11</f>
        <v/>
      </c>
      <c r="C411" s="378">
        <f>試算シート!J11</f>
        <v>0</v>
      </c>
      <c r="D411" s="345">
        <f>試算シート!X11</f>
        <v>0</v>
      </c>
      <c r="E411" s="378">
        <f t="shared" si="128"/>
        <v>0</v>
      </c>
      <c r="F411" s="378">
        <f t="shared" si="129"/>
        <v>0</v>
      </c>
      <c r="G411" s="346">
        <f>IF(D412=0,0,IF(D411=D412,0,1))</f>
        <v>0</v>
      </c>
      <c r="H411" s="333"/>
      <c r="I411" s="333"/>
      <c r="J411" s="333"/>
    </row>
    <row r="412" spans="1:16">
      <c r="A412" s="345"/>
      <c r="B412" s="378" t="str">
        <f>試算シート!I12</f>
        <v/>
      </c>
      <c r="C412" s="378">
        <f>試算シート!J12</f>
        <v>0</v>
      </c>
      <c r="D412" s="345">
        <f>試算シート!X12</f>
        <v>0</v>
      </c>
      <c r="E412" s="378">
        <f t="shared" si="128"/>
        <v>0</v>
      </c>
      <c r="F412" s="378">
        <f t="shared" si="129"/>
        <v>0</v>
      </c>
      <c r="G412" s="348"/>
      <c r="H412" s="333"/>
      <c r="I412" s="333"/>
      <c r="J412" s="333"/>
    </row>
    <row r="413" spans="1:16">
      <c r="A413" s="345" t="s">
        <v>29</v>
      </c>
      <c r="B413" s="378" t="str">
        <f>試算シート!I13</f>
        <v/>
      </c>
      <c r="C413" s="378">
        <f>試算シート!J13</f>
        <v>0</v>
      </c>
      <c r="D413" s="345">
        <f>試算シート!X13</f>
        <v>0</v>
      </c>
      <c r="E413" s="378">
        <f t="shared" si="128"/>
        <v>0</v>
      </c>
      <c r="F413" s="378">
        <f t="shared" si="129"/>
        <v>0</v>
      </c>
      <c r="G413" s="346">
        <f>IF(D414=0,0,IF(D413=D414,0,1))</f>
        <v>0</v>
      </c>
      <c r="H413" s="333"/>
      <c r="I413" s="333"/>
      <c r="J413" s="333"/>
    </row>
    <row r="414" spans="1:16">
      <c r="A414" s="345"/>
      <c r="B414" s="378" t="str">
        <f>試算シート!I14</f>
        <v/>
      </c>
      <c r="C414" s="378">
        <f>試算シート!J14</f>
        <v>0</v>
      </c>
      <c r="D414" s="345">
        <f>試算シート!X14</f>
        <v>0</v>
      </c>
      <c r="E414" s="378">
        <f t="shared" si="128"/>
        <v>0</v>
      </c>
      <c r="F414" s="378">
        <f t="shared" si="129"/>
        <v>0</v>
      </c>
      <c r="G414" s="348"/>
      <c r="H414" s="333"/>
      <c r="I414" s="333"/>
      <c r="J414" s="333"/>
    </row>
    <row r="415" spans="1:16">
      <c r="A415" s="345" t="s">
        <v>34</v>
      </c>
      <c r="B415" s="378" t="str">
        <f>試算シート!I15</f>
        <v/>
      </c>
      <c r="C415" s="378">
        <f>試算シート!J15</f>
        <v>0</v>
      </c>
      <c r="D415" s="345">
        <f>試算シート!X15</f>
        <v>0</v>
      </c>
      <c r="E415" s="378">
        <f t="shared" si="128"/>
        <v>0</v>
      </c>
      <c r="F415" s="378">
        <f t="shared" si="129"/>
        <v>0</v>
      </c>
      <c r="G415" s="346">
        <f>IF(D416=0,0,IF(D415=D416,0,1))</f>
        <v>0</v>
      </c>
      <c r="H415" s="333"/>
      <c r="I415" s="333"/>
      <c r="J415" s="333"/>
    </row>
    <row r="416" spans="1:16">
      <c r="A416" s="345"/>
      <c r="B416" s="378" t="str">
        <f>試算シート!I16</f>
        <v/>
      </c>
      <c r="C416" s="378">
        <f>試算シート!J16</f>
        <v>0</v>
      </c>
      <c r="D416" s="345">
        <f>試算シート!X16</f>
        <v>0</v>
      </c>
      <c r="E416" s="378">
        <f t="shared" si="128"/>
        <v>0</v>
      </c>
      <c r="F416" s="378">
        <f t="shared" si="129"/>
        <v>0</v>
      </c>
      <c r="G416" s="348"/>
      <c r="H416" s="333"/>
      <c r="I416" s="333"/>
      <c r="J416" s="333"/>
    </row>
    <row r="417" spans="1:12">
      <c r="A417" s="345" t="s">
        <v>38</v>
      </c>
      <c r="B417" s="378" t="str">
        <f>試算シート!I17</f>
        <v/>
      </c>
      <c r="C417" s="378">
        <f>試算シート!J17</f>
        <v>0</v>
      </c>
      <c r="D417" s="345">
        <f>試算シート!X17</f>
        <v>0</v>
      </c>
      <c r="E417" s="378">
        <f t="shared" si="128"/>
        <v>0</v>
      </c>
      <c r="F417" s="378">
        <f t="shared" si="129"/>
        <v>0</v>
      </c>
      <c r="G417" s="346">
        <f>IF(D418=0,0,IF(D417=D418,0,1))</f>
        <v>0</v>
      </c>
      <c r="H417" s="333"/>
      <c r="I417" s="333"/>
      <c r="J417" s="333"/>
    </row>
    <row r="418" spans="1:12">
      <c r="A418" s="345"/>
      <c r="B418" s="378" t="str">
        <f>試算シート!I18</f>
        <v/>
      </c>
      <c r="C418" s="378">
        <f>試算シート!J18</f>
        <v>0</v>
      </c>
      <c r="D418" s="345">
        <f>試算シート!X18</f>
        <v>0</v>
      </c>
      <c r="E418" s="378">
        <f t="shared" si="128"/>
        <v>0</v>
      </c>
      <c r="F418" s="378">
        <f t="shared" si="129"/>
        <v>0</v>
      </c>
      <c r="G418" s="348"/>
      <c r="H418" s="333"/>
      <c r="I418" s="333"/>
      <c r="J418" s="333"/>
    </row>
    <row r="419" spans="1:12">
      <c r="A419" s="345" t="s">
        <v>23</v>
      </c>
      <c r="B419" s="378" t="str">
        <f>試算シート!I19</f>
        <v/>
      </c>
      <c r="C419" s="378">
        <f>試算シート!J19</f>
        <v>0</v>
      </c>
      <c r="D419" s="345">
        <f>試算シート!X19</f>
        <v>0</v>
      </c>
      <c r="E419" s="378">
        <f t="shared" si="128"/>
        <v>0</v>
      </c>
      <c r="F419" s="378">
        <f t="shared" si="129"/>
        <v>0</v>
      </c>
      <c r="G419" s="346">
        <f>IF(D420=0,0,IF(D419=D420,0,1))</f>
        <v>0</v>
      </c>
      <c r="H419" s="333"/>
      <c r="I419" s="333"/>
      <c r="J419" s="333"/>
    </row>
    <row r="420" spans="1:12">
      <c r="A420" s="345"/>
      <c r="B420" s="378" t="str">
        <f>試算シート!I20</f>
        <v/>
      </c>
      <c r="C420" s="378">
        <f>試算シート!J20</f>
        <v>0</v>
      </c>
      <c r="D420" s="345">
        <f>試算シート!X20</f>
        <v>0</v>
      </c>
      <c r="E420" s="378">
        <f t="shared" si="128"/>
        <v>0</v>
      </c>
      <c r="F420" s="378">
        <f t="shared" si="129"/>
        <v>0</v>
      </c>
      <c r="G420" s="348"/>
      <c r="H420" s="333"/>
      <c r="I420" s="333"/>
      <c r="J420" s="333"/>
    </row>
    <row r="421" spans="1:12">
      <c r="A421" s="345" t="s">
        <v>9</v>
      </c>
      <c r="B421" s="378" t="str">
        <f>試算シート!I21</f>
        <v/>
      </c>
      <c r="C421" s="378">
        <f>試算シート!J21</f>
        <v>0</v>
      </c>
      <c r="D421" s="345">
        <f>試算シート!X21</f>
        <v>0</v>
      </c>
      <c r="E421" s="378">
        <f t="shared" si="128"/>
        <v>0</v>
      </c>
      <c r="F421" s="378">
        <f t="shared" si="129"/>
        <v>0</v>
      </c>
      <c r="G421" s="346">
        <f>IF(D422=0,0,IF(D421=D422,0,1))</f>
        <v>0</v>
      </c>
      <c r="H421" s="333"/>
      <c r="I421" s="333"/>
      <c r="J421" s="333"/>
    </row>
    <row r="422" spans="1:12">
      <c r="A422" s="345"/>
      <c r="B422" s="378">
        <f>試算シート!I22</f>
        <v>0</v>
      </c>
      <c r="C422" s="378">
        <f>試算シート!J22</f>
        <v>0</v>
      </c>
      <c r="D422" s="345">
        <f>試算シート!X22</f>
        <v>0</v>
      </c>
      <c r="E422" s="378">
        <f t="shared" si="128"/>
        <v>0</v>
      </c>
      <c r="F422" s="378">
        <f t="shared" si="129"/>
        <v>0</v>
      </c>
      <c r="G422" s="348"/>
      <c r="H422" s="333"/>
      <c r="I422" s="333"/>
      <c r="J422" s="333"/>
    </row>
    <row r="423" spans="1:12">
      <c r="A423" s="345" t="s">
        <v>271</v>
      </c>
      <c r="B423" s="378">
        <f>試算シート!I23</f>
        <v>0</v>
      </c>
      <c r="C423" s="378">
        <f>試算シート!J23</f>
        <v>0</v>
      </c>
      <c r="D423" s="345" t="s">
        <v>45</v>
      </c>
      <c r="E423" s="378">
        <f t="shared" si="128"/>
        <v>0</v>
      </c>
      <c r="F423" s="378">
        <f t="shared" si="129"/>
        <v>0</v>
      </c>
      <c r="G423" s="346" t="s">
        <v>45</v>
      </c>
      <c r="H423" s="333"/>
      <c r="I423" s="333"/>
      <c r="J423" s="333"/>
    </row>
    <row r="424" spans="1:12">
      <c r="A424" s="345" t="s">
        <v>272</v>
      </c>
      <c r="B424" s="378">
        <f>試算シート!I24</f>
        <v>0</v>
      </c>
      <c r="C424" s="378">
        <f>試算シート!J24</f>
        <v>0</v>
      </c>
      <c r="D424" s="345" t="s">
        <v>45</v>
      </c>
      <c r="E424" s="378">
        <f t="shared" si="128"/>
        <v>0</v>
      </c>
      <c r="F424" s="378">
        <f t="shared" si="129"/>
        <v>0</v>
      </c>
      <c r="G424" s="348"/>
      <c r="H424" s="333"/>
      <c r="I424" s="333"/>
      <c r="J424" s="333"/>
    </row>
    <row r="425" spans="1:12">
      <c r="A425" s="345" t="s">
        <v>60</v>
      </c>
      <c r="B425" s="378"/>
      <c r="C425" s="378"/>
      <c r="D425" s="345"/>
      <c r="E425" s="378">
        <f>SUM(E407:E424)</f>
        <v>0</v>
      </c>
      <c r="F425" s="378">
        <f>SUM(F407:F424)</f>
        <v>0</v>
      </c>
      <c r="G425" s="378">
        <f>SUM(G407:G424)</f>
        <v>0</v>
      </c>
      <c r="H425" s="333"/>
      <c r="I425" s="333"/>
      <c r="J425" s="333"/>
    </row>
    <row r="426" spans="1:12">
      <c r="A426" s="333"/>
      <c r="B426" s="333"/>
      <c r="C426" s="333"/>
      <c r="D426" s="333"/>
      <c r="E426" s="333"/>
      <c r="F426" s="333"/>
      <c r="G426" s="333"/>
      <c r="H426" s="333"/>
      <c r="I426" s="333"/>
      <c r="J426" s="333"/>
      <c r="K426" s="333"/>
      <c r="L426" s="333"/>
    </row>
    <row r="427" spans="1:12">
      <c r="A427" s="333" t="s">
        <v>278</v>
      </c>
      <c r="B427" s="333"/>
      <c r="C427" s="333"/>
      <c r="E427" s="333"/>
      <c r="F427" s="333"/>
      <c r="G427" s="333"/>
      <c r="H427" s="333"/>
      <c r="I427" s="333"/>
      <c r="J427" s="333"/>
      <c r="K427" s="333"/>
      <c r="L427" s="333"/>
    </row>
    <row r="428" spans="1:12">
      <c r="A428" s="345" t="s">
        <v>94</v>
      </c>
      <c r="B428" s="345" t="s">
        <v>93</v>
      </c>
      <c r="C428" s="333"/>
      <c r="E428" s="333"/>
      <c r="F428" s="333"/>
      <c r="G428" s="333"/>
      <c r="H428" s="333"/>
      <c r="I428" s="333"/>
      <c r="J428" s="333"/>
      <c r="K428" s="333"/>
      <c r="L428" s="333"/>
    </row>
    <row r="429" spans="1:12">
      <c r="A429" s="345" t="s">
        <v>40</v>
      </c>
      <c r="B429" s="345">
        <v>13</v>
      </c>
      <c r="C429" s="333"/>
      <c r="F429" s="333"/>
      <c r="G429" s="333"/>
      <c r="H429" s="333"/>
      <c r="I429" s="333"/>
      <c r="J429" s="333"/>
      <c r="K429" s="333"/>
      <c r="L429" s="333"/>
    </row>
    <row r="430" spans="1:12">
      <c r="A430" s="345" t="s">
        <v>19</v>
      </c>
      <c r="B430" s="345">
        <v>12</v>
      </c>
      <c r="C430" s="333"/>
      <c r="F430" s="333"/>
      <c r="G430" s="333"/>
      <c r="H430" s="333"/>
      <c r="I430" s="333"/>
      <c r="J430" s="333"/>
      <c r="K430" s="333"/>
      <c r="L430" s="333"/>
    </row>
    <row r="431" spans="1:12">
      <c r="A431" s="345" t="s">
        <v>41</v>
      </c>
      <c r="B431" s="345">
        <v>11</v>
      </c>
      <c r="C431" s="333"/>
      <c r="F431" s="333"/>
      <c r="G431" s="333"/>
      <c r="H431" s="333"/>
      <c r="I431" s="333"/>
      <c r="J431" s="333"/>
      <c r="K431" s="333"/>
      <c r="L431" s="333"/>
    </row>
    <row r="432" spans="1:12">
      <c r="A432" s="345" t="s">
        <v>42</v>
      </c>
      <c r="B432" s="345">
        <v>10</v>
      </c>
      <c r="C432" s="333"/>
      <c r="F432" s="333"/>
      <c r="G432" s="333"/>
      <c r="H432" s="333"/>
      <c r="I432" s="333"/>
      <c r="J432" s="333"/>
      <c r="K432" s="333"/>
      <c r="L432" s="333"/>
    </row>
    <row r="433" spans="1:17">
      <c r="A433" s="345" t="s">
        <v>44</v>
      </c>
      <c r="B433" s="345">
        <v>9</v>
      </c>
      <c r="C433" s="333"/>
      <c r="F433" s="333"/>
      <c r="G433" s="333"/>
      <c r="H433" s="333"/>
      <c r="I433" s="333"/>
      <c r="J433" s="333"/>
      <c r="K433" s="333"/>
      <c r="L433" s="333"/>
    </row>
    <row r="434" spans="1:17">
      <c r="A434" s="345" t="s">
        <v>48</v>
      </c>
      <c r="B434" s="345">
        <v>8</v>
      </c>
      <c r="C434" s="333"/>
      <c r="F434" s="333"/>
      <c r="G434" s="333"/>
      <c r="I434" s="333"/>
    </row>
    <row r="435" spans="1:17">
      <c r="A435" s="345" t="s">
        <v>35</v>
      </c>
      <c r="B435" s="345">
        <v>7</v>
      </c>
      <c r="C435" s="333"/>
      <c r="F435" s="333"/>
      <c r="I435" s="333"/>
      <c r="K435" s="333"/>
    </row>
    <row r="436" spans="1:17">
      <c r="A436" s="345" t="s">
        <v>47</v>
      </c>
      <c r="B436" s="345">
        <v>6</v>
      </c>
      <c r="C436" s="333"/>
      <c r="F436" s="333"/>
      <c r="I436" s="333"/>
      <c r="K436" s="333"/>
    </row>
    <row r="437" spans="1:17">
      <c r="A437" s="345" t="s">
        <v>50</v>
      </c>
      <c r="B437" s="345">
        <v>5</v>
      </c>
      <c r="C437" s="333"/>
      <c r="F437" s="333"/>
      <c r="I437" s="333"/>
      <c r="K437" s="333"/>
    </row>
    <row r="438" spans="1:17">
      <c r="A438" s="345" t="s">
        <v>77</v>
      </c>
      <c r="B438" s="345">
        <v>4</v>
      </c>
      <c r="C438" s="333"/>
      <c r="F438" s="333"/>
      <c r="I438" s="333"/>
      <c r="K438" s="333"/>
      <c r="L438" s="333"/>
    </row>
    <row r="439" spans="1:17">
      <c r="A439" s="345" t="s">
        <v>78</v>
      </c>
      <c r="B439" s="345">
        <v>3</v>
      </c>
      <c r="C439" s="333"/>
      <c r="F439" s="333"/>
      <c r="I439" s="333"/>
      <c r="K439" s="333"/>
      <c r="L439" s="333"/>
    </row>
    <row r="440" spans="1:17">
      <c r="A440" s="345" t="s">
        <v>79</v>
      </c>
      <c r="B440" s="345">
        <v>2</v>
      </c>
      <c r="C440" s="333"/>
      <c r="F440" s="333"/>
      <c r="I440" s="333"/>
      <c r="K440" s="333"/>
      <c r="L440" s="333"/>
    </row>
    <row r="441" spans="1:17">
      <c r="C441" s="333"/>
      <c r="E441" s="333"/>
      <c r="F441" s="333"/>
      <c r="I441" s="333"/>
      <c r="K441" s="333"/>
      <c r="L441" s="333"/>
    </row>
    <row r="443" spans="1:17">
      <c r="A443" s="344" t="s">
        <v>76</v>
      </c>
      <c r="E443" s="333"/>
      <c r="F443" s="333"/>
      <c r="G443" s="333"/>
      <c r="H443" s="333"/>
      <c r="I443" s="333"/>
      <c r="J443" s="333"/>
      <c r="K443" s="333"/>
      <c r="L443" s="333"/>
      <c r="M443" s="333"/>
      <c r="N443" s="333"/>
      <c r="O443" s="333"/>
      <c r="P443" s="333"/>
      <c r="Q443" s="333"/>
    </row>
    <row r="444" spans="1:17">
      <c r="D444" s="397"/>
      <c r="E444" s="409"/>
    </row>
    <row r="445" spans="1:17">
      <c r="A445" s="345" t="s">
        <v>218</v>
      </c>
      <c r="B445" s="345" t="s">
        <v>60</v>
      </c>
      <c r="C445" s="345" t="s">
        <v>265</v>
      </c>
      <c r="D445" s="345" t="s">
        <v>177</v>
      </c>
      <c r="E445" s="409"/>
    </row>
    <row r="446" spans="1:17">
      <c r="A446" s="345">
        <v>1</v>
      </c>
      <c r="B446" s="345">
        <f>E425</f>
        <v>0</v>
      </c>
      <c r="C446" s="378" t="str">
        <f t="shared" ref="C446:C455" si="130">IF(B446&gt;0,A446,"-")</f>
        <v>-</v>
      </c>
      <c r="D446" s="352"/>
      <c r="E446" s="409"/>
    </row>
    <row r="447" spans="1:17" s="331" customFormat="1">
      <c r="A447" s="345">
        <v>2</v>
      </c>
      <c r="B447" s="379">
        <f>F425</f>
        <v>0</v>
      </c>
      <c r="C447" s="378" t="str">
        <f t="shared" si="130"/>
        <v>-</v>
      </c>
      <c r="D447" s="352"/>
      <c r="E447" s="409"/>
    </row>
    <row r="448" spans="1:17" s="331" customFormat="1">
      <c r="A448" s="345">
        <v>3</v>
      </c>
      <c r="B448" s="379">
        <f>K402</f>
        <v>0</v>
      </c>
      <c r="C448" s="378" t="str">
        <f t="shared" si="130"/>
        <v>-</v>
      </c>
      <c r="D448" s="352"/>
      <c r="E448" s="409"/>
    </row>
    <row r="449" spans="1:14" s="331" customFormat="1">
      <c r="A449" s="345">
        <v>4</v>
      </c>
      <c r="B449" s="379">
        <f>J409</f>
        <v>0</v>
      </c>
      <c r="C449" s="378" t="str">
        <f t="shared" si="130"/>
        <v>-</v>
      </c>
      <c r="D449" s="352"/>
      <c r="E449" s="409"/>
    </row>
    <row r="450" spans="1:14" s="331" customFormat="1">
      <c r="A450" s="345">
        <v>5</v>
      </c>
      <c r="B450" s="379">
        <f>I402</f>
        <v>0</v>
      </c>
      <c r="C450" s="378" t="str">
        <f t="shared" si="130"/>
        <v>-</v>
      </c>
      <c r="D450" s="352"/>
      <c r="E450" s="409"/>
    </row>
    <row r="451" spans="1:14">
      <c r="A451" s="345">
        <v>6</v>
      </c>
      <c r="B451" s="345">
        <f>J402</f>
        <v>0</v>
      </c>
      <c r="C451" s="378" t="str">
        <f t="shared" si="130"/>
        <v>-</v>
      </c>
      <c r="D451" s="352"/>
      <c r="E451" s="409"/>
    </row>
    <row r="452" spans="1:14">
      <c r="A452" s="345">
        <v>7</v>
      </c>
      <c r="B452" s="345"/>
      <c r="C452" s="378" t="str">
        <f t="shared" si="130"/>
        <v>-</v>
      </c>
      <c r="D452" s="352"/>
      <c r="E452" s="409"/>
    </row>
    <row r="453" spans="1:14">
      <c r="A453" s="345">
        <v>8</v>
      </c>
      <c r="B453" s="345"/>
      <c r="C453" s="378" t="str">
        <f t="shared" si="130"/>
        <v>-</v>
      </c>
      <c r="D453" s="352"/>
      <c r="E453" s="409"/>
    </row>
    <row r="454" spans="1:14">
      <c r="A454" s="345">
        <v>9</v>
      </c>
      <c r="B454" s="345"/>
      <c r="C454" s="378" t="str">
        <f t="shared" si="130"/>
        <v>-</v>
      </c>
      <c r="D454" s="352"/>
      <c r="E454" s="409"/>
    </row>
    <row r="455" spans="1:14">
      <c r="A455" s="345">
        <v>10</v>
      </c>
      <c r="B455" s="345"/>
      <c r="C455" s="378" t="str">
        <f t="shared" si="130"/>
        <v>-</v>
      </c>
      <c r="D455" s="352"/>
      <c r="E455" s="409"/>
    </row>
    <row r="456" spans="1:14">
      <c r="C456" s="397">
        <f>MIN(C446:C455)</f>
        <v>0</v>
      </c>
      <c r="E456" s="409"/>
    </row>
    <row r="458" spans="1:14">
      <c r="N458" s="333"/>
    </row>
    <row r="459" spans="1:14">
      <c r="A459" s="344" t="s">
        <v>259</v>
      </c>
      <c r="N459" s="333"/>
    </row>
    <row r="460" spans="1:14">
      <c r="D460" s="397"/>
    </row>
    <row r="461" spans="1:14">
      <c r="A461" s="345" t="s">
        <v>218</v>
      </c>
      <c r="B461" s="345" t="s">
        <v>60</v>
      </c>
      <c r="C461" s="398" t="s">
        <v>265</v>
      </c>
      <c r="D461" s="345" t="s">
        <v>177</v>
      </c>
    </row>
    <row r="462" spans="1:14" ht="52.5">
      <c r="A462" s="345" t="s">
        <v>68</v>
      </c>
      <c r="B462" s="345">
        <f>E402</f>
        <v>0</v>
      </c>
      <c r="C462" s="378" t="str">
        <f>IF(B462&gt;0,A446,"-")</f>
        <v>-</v>
      </c>
      <c r="D462" s="402" t="s">
        <v>239</v>
      </c>
    </row>
    <row r="463" spans="1:14" ht="52.5">
      <c r="A463" s="345" t="s">
        <v>241</v>
      </c>
      <c r="B463" s="379">
        <f>G402</f>
        <v>0</v>
      </c>
      <c r="C463" s="378" t="str">
        <f>IF(B463&gt;0,A447,"-")</f>
        <v>-</v>
      </c>
      <c r="D463" s="402" t="s">
        <v>280</v>
      </c>
    </row>
    <row r="464" spans="1:14" ht="52.5">
      <c r="A464" s="345" t="s">
        <v>67</v>
      </c>
      <c r="B464" s="379">
        <f>H402</f>
        <v>0</v>
      </c>
      <c r="C464" s="378" t="str">
        <f>IF(B464&gt;0,A448,"-")</f>
        <v>-</v>
      </c>
      <c r="D464" s="402" t="s">
        <v>270</v>
      </c>
    </row>
    <row r="465" spans="1:4">
      <c r="A465" s="345" t="s">
        <v>243</v>
      </c>
      <c r="B465" s="379">
        <f>G425</f>
        <v>0</v>
      </c>
      <c r="C465" s="378" t="str">
        <f>IF(B465&gt;0,A449,"-")</f>
        <v>-</v>
      </c>
      <c r="D465" s="352"/>
    </row>
    <row r="466" spans="1:4">
      <c r="A466" s="345" t="s">
        <v>8</v>
      </c>
      <c r="B466" s="379"/>
      <c r="C466" s="398"/>
      <c r="D466" s="352"/>
    </row>
    <row r="467" spans="1:4">
      <c r="A467" s="345" t="s">
        <v>245</v>
      </c>
      <c r="B467" s="345"/>
      <c r="C467" s="398"/>
      <c r="D467" s="352"/>
    </row>
    <row r="468" spans="1:4">
      <c r="A468" s="345" t="s">
        <v>213</v>
      </c>
      <c r="B468" s="345"/>
      <c r="C468" s="398"/>
      <c r="D468" s="352"/>
    </row>
    <row r="469" spans="1:4">
      <c r="A469" s="345" t="s">
        <v>136</v>
      </c>
      <c r="B469" s="345"/>
      <c r="C469" s="398"/>
      <c r="D469" s="352"/>
    </row>
    <row r="470" spans="1:4">
      <c r="A470" s="345" t="s">
        <v>246</v>
      </c>
      <c r="B470" s="345"/>
      <c r="C470" s="398"/>
      <c r="D470" s="352"/>
    </row>
    <row r="471" spans="1:4">
      <c r="A471" s="345" t="s">
        <v>247</v>
      </c>
      <c r="B471" s="345"/>
      <c r="C471" s="398"/>
      <c r="D471" s="352"/>
    </row>
    <row r="472" spans="1:4">
      <c r="C472" s="397">
        <f>MIN(C462:C471)</f>
        <v>0</v>
      </c>
    </row>
  </sheetData>
  <mergeCells count="284">
    <mergeCell ref="J8:Q8"/>
    <mergeCell ref="J9:Q9"/>
    <mergeCell ref="J10:Q10"/>
    <mergeCell ref="A30:C30"/>
    <mergeCell ref="A32:B32"/>
    <mergeCell ref="A33:B33"/>
    <mergeCell ref="I34:J34"/>
    <mergeCell ref="K34:L34"/>
    <mergeCell ref="A50:B50"/>
    <mergeCell ref="A283:B283"/>
    <mergeCell ref="A284:B284"/>
    <mergeCell ref="A285:B285"/>
    <mergeCell ref="A286:B286"/>
    <mergeCell ref="A287:B287"/>
    <mergeCell ref="A288:B288"/>
    <mergeCell ref="A292:B292"/>
    <mergeCell ref="A293:B293"/>
    <mergeCell ref="A294:B294"/>
    <mergeCell ref="A295:B295"/>
    <mergeCell ref="A296:B296"/>
    <mergeCell ref="A315:B315"/>
    <mergeCell ref="A9:A12"/>
    <mergeCell ref="A13:A16"/>
    <mergeCell ref="A17:A20"/>
    <mergeCell ref="A21:A25"/>
    <mergeCell ref="A34:A37"/>
    <mergeCell ref="A38:A41"/>
    <mergeCell ref="A42:A45"/>
    <mergeCell ref="A46:A49"/>
    <mergeCell ref="A51:A54"/>
    <mergeCell ref="A55:A58"/>
    <mergeCell ref="A80:A81"/>
    <mergeCell ref="B80:B81"/>
    <mergeCell ref="C80:C81"/>
    <mergeCell ref="D80:D81"/>
    <mergeCell ref="E80:E81"/>
    <mergeCell ref="F80:F81"/>
    <mergeCell ref="G80:G81"/>
    <mergeCell ref="H80:H81"/>
    <mergeCell ref="I80:I81"/>
    <mergeCell ref="J80:J81"/>
    <mergeCell ref="K80:K81"/>
    <mergeCell ref="L80:L81"/>
    <mergeCell ref="M80:M81"/>
    <mergeCell ref="N80:N81"/>
    <mergeCell ref="A82:A83"/>
    <mergeCell ref="B82:B83"/>
    <mergeCell ref="C82:C83"/>
    <mergeCell ref="D82:D83"/>
    <mergeCell ref="E82:E83"/>
    <mergeCell ref="F82:F83"/>
    <mergeCell ref="G82:G83"/>
    <mergeCell ref="H82:H83"/>
    <mergeCell ref="I82:I83"/>
    <mergeCell ref="J82:J83"/>
    <mergeCell ref="K82:K83"/>
    <mergeCell ref="L82:L83"/>
    <mergeCell ref="M82:M83"/>
    <mergeCell ref="N82:N83"/>
    <mergeCell ref="A84:A85"/>
    <mergeCell ref="B84:B85"/>
    <mergeCell ref="C84:C85"/>
    <mergeCell ref="D84:D85"/>
    <mergeCell ref="E84:E85"/>
    <mergeCell ref="F84:F85"/>
    <mergeCell ref="G84:G85"/>
    <mergeCell ref="H84:H85"/>
    <mergeCell ref="I84:I85"/>
    <mergeCell ref="J84:J85"/>
    <mergeCell ref="K84:K85"/>
    <mergeCell ref="L84:L85"/>
    <mergeCell ref="M84:M85"/>
    <mergeCell ref="N84:N85"/>
    <mergeCell ref="A86:A87"/>
    <mergeCell ref="B86:B87"/>
    <mergeCell ref="C86:C87"/>
    <mergeCell ref="D86:D87"/>
    <mergeCell ref="E86:E87"/>
    <mergeCell ref="F86:F87"/>
    <mergeCell ref="G86:G87"/>
    <mergeCell ref="H86:H87"/>
    <mergeCell ref="I86:I87"/>
    <mergeCell ref="J86:J87"/>
    <mergeCell ref="K86:K87"/>
    <mergeCell ref="L86:L87"/>
    <mergeCell ref="M86:M87"/>
    <mergeCell ref="N86:N87"/>
    <mergeCell ref="A88:A89"/>
    <mergeCell ref="B88:B89"/>
    <mergeCell ref="C88:C89"/>
    <mergeCell ref="D88:D89"/>
    <mergeCell ref="E88:E89"/>
    <mergeCell ref="F88:F89"/>
    <mergeCell ref="G88:G89"/>
    <mergeCell ref="H88:H89"/>
    <mergeCell ref="I88:I89"/>
    <mergeCell ref="J88:J89"/>
    <mergeCell ref="K88:K89"/>
    <mergeCell ref="L88:L89"/>
    <mergeCell ref="M88:M89"/>
    <mergeCell ref="N88:N89"/>
    <mergeCell ref="A90:A91"/>
    <mergeCell ref="B90:B91"/>
    <mergeCell ref="C90:C91"/>
    <mergeCell ref="D90:D91"/>
    <mergeCell ref="E90:E91"/>
    <mergeCell ref="F90:F91"/>
    <mergeCell ref="G90:G91"/>
    <mergeCell ref="H90:H91"/>
    <mergeCell ref="I90:I91"/>
    <mergeCell ref="J90:J91"/>
    <mergeCell ref="K90:K91"/>
    <mergeCell ref="L90:L91"/>
    <mergeCell ref="M90:M91"/>
    <mergeCell ref="N90:N91"/>
    <mergeCell ref="A92:A93"/>
    <mergeCell ref="B92:B93"/>
    <mergeCell ref="C92:C93"/>
    <mergeCell ref="D92:D93"/>
    <mergeCell ref="E92:E93"/>
    <mergeCell ref="F92:F93"/>
    <mergeCell ref="G92:G93"/>
    <mergeCell ref="H92:H93"/>
    <mergeCell ref="I92:I93"/>
    <mergeCell ref="J92:J93"/>
    <mergeCell ref="K92:K93"/>
    <mergeCell ref="L92:L93"/>
    <mergeCell ref="M92:M93"/>
    <mergeCell ref="N92:N93"/>
    <mergeCell ref="A94:A95"/>
    <mergeCell ref="B94:B95"/>
    <mergeCell ref="C94:C95"/>
    <mergeCell ref="D94:D95"/>
    <mergeCell ref="E94:E95"/>
    <mergeCell ref="F94:F95"/>
    <mergeCell ref="G94:G95"/>
    <mergeCell ref="H94:H95"/>
    <mergeCell ref="I94:I95"/>
    <mergeCell ref="J94:J95"/>
    <mergeCell ref="K94:K95"/>
    <mergeCell ref="L94:L95"/>
    <mergeCell ref="M94:M95"/>
    <mergeCell ref="N94:N95"/>
    <mergeCell ref="A104:A105"/>
    <mergeCell ref="B104:B105"/>
    <mergeCell ref="A106:A107"/>
    <mergeCell ref="B106:B107"/>
    <mergeCell ref="A108:A109"/>
    <mergeCell ref="B108:B109"/>
    <mergeCell ref="A110:A111"/>
    <mergeCell ref="B110:B111"/>
    <mergeCell ref="A112:A113"/>
    <mergeCell ref="B112:B113"/>
    <mergeCell ref="A114:A115"/>
    <mergeCell ref="B114:B115"/>
    <mergeCell ref="A116:A117"/>
    <mergeCell ref="B116:B117"/>
    <mergeCell ref="A118:A119"/>
    <mergeCell ref="B118:B119"/>
    <mergeCell ref="A159:A162"/>
    <mergeCell ref="A163:A165"/>
    <mergeCell ref="A166:A168"/>
    <mergeCell ref="A174:A177"/>
    <mergeCell ref="A178:A181"/>
    <mergeCell ref="A182:A185"/>
    <mergeCell ref="A186:A189"/>
    <mergeCell ref="A190:A193"/>
    <mergeCell ref="A194:A197"/>
    <mergeCell ref="A198:A201"/>
    <mergeCell ref="A202:A205"/>
    <mergeCell ref="A213:A216"/>
    <mergeCell ref="A217:A220"/>
    <mergeCell ref="A222:A223"/>
    <mergeCell ref="A236:A239"/>
    <mergeCell ref="A241:A242"/>
    <mergeCell ref="A255:A257"/>
    <mergeCell ref="A262:A263"/>
    <mergeCell ref="A268:A271"/>
    <mergeCell ref="A276:A279"/>
    <mergeCell ref="A386:A387"/>
    <mergeCell ref="B386:B387"/>
    <mergeCell ref="C386:C387"/>
    <mergeCell ref="D386:D387"/>
    <mergeCell ref="E386:E387"/>
    <mergeCell ref="F386:F387"/>
    <mergeCell ref="G386:G387"/>
    <mergeCell ref="H386:H387"/>
    <mergeCell ref="I386:I387"/>
    <mergeCell ref="J386:J387"/>
    <mergeCell ref="K386:K387"/>
    <mergeCell ref="A388:A389"/>
    <mergeCell ref="B388:B389"/>
    <mergeCell ref="C388:C389"/>
    <mergeCell ref="D388:D389"/>
    <mergeCell ref="E388:E389"/>
    <mergeCell ref="F388:F389"/>
    <mergeCell ref="G388:G389"/>
    <mergeCell ref="H388:H389"/>
    <mergeCell ref="I388:I389"/>
    <mergeCell ref="J388:J389"/>
    <mergeCell ref="K388:K389"/>
    <mergeCell ref="A390:A391"/>
    <mergeCell ref="B390:B391"/>
    <mergeCell ref="C390:C391"/>
    <mergeCell ref="D390:D391"/>
    <mergeCell ref="E390:E391"/>
    <mergeCell ref="F390:F391"/>
    <mergeCell ref="G390:G391"/>
    <mergeCell ref="H390:H391"/>
    <mergeCell ref="I390:I391"/>
    <mergeCell ref="J390:J391"/>
    <mergeCell ref="K390:K391"/>
    <mergeCell ref="A392:A393"/>
    <mergeCell ref="B392:B393"/>
    <mergeCell ref="C392:C393"/>
    <mergeCell ref="D392:D393"/>
    <mergeCell ref="E392:E393"/>
    <mergeCell ref="F392:F393"/>
    <mergeCell ref="G392:G393"/>
    <mergeCell ref="H392:H393"/>
    <mergeCell ref="I392:I393"/>
    <mergeCell ref="J392:J393"/>
    <mergeCell ref="K392:K393"/>
    <mergeCell ref="A394:A395"/>
    <mergeCell ref="B394:B395"/>
    <mergeCell ref="C394:C395"/>
    <mergeCell ref="D394:D395"/>
    <mergeCell ref="E394:E395"/>
    <mergeCell ref="F394:F395"/>
    <mergeCell ref="G394:G395"/>
    <mergeCell ref="H394:H395"/>
    <mergeCell ref="I394:I395"/>
    <mergeCell ref="J394:J395"/>
    <mergeCell ref="K394:K395"/>
    <mergeCell ref="A396:A397"/>
    <mergeCell ref="B396:B397"/>
    <mergeCell ref="C396:C397"/>
    <mergeCell ref="D396:D397"/>
    <mergeCell ref="E396:E397"/>
    <mergeCell ref="F396:F397"/>
    <mergeCell ref="G396:G397"/>
    <mergeCell ref="H396:H397"/>
    <mergeCell ref="I396:I397"/>
    <mergeCell ref="J396:J397"/>
    <mergeCell ref="K396:K397"/>
    <mergeCell ref="A398:A399"/>
    <mergeCell ref="B398:B399"/>
    <mergeCell ref="C398:C399"/>
    <mergeCell ref="D398:D399"/>
    <mergeCell ref="E398:E399"/>
    <mergeCell ref="F398:F399"/>
    <mergeCell ref="G398:G399"/>
    <mergeCell ref="H398:H399"/>
    <mergeCell ref="I398:I399"/>
    <mergeCell ref="J398:J399"/>
    <mergeCell ref="K398:K399"/>
    <mergeCell ref="A400:A401"/>
    <mergeCell ref="B400:B401"/>
    <mergeCell ref="C400:C401"/>
    <mergeCell ref="D400:D401"/>
    <mergeCell ref="E400:E401"/>
    <mergeCell ref="F400:F401"/>
    <mergeCell ref="G400:G401"/>
    <mergeCell ref="H400:H401"/>
    <mergeCell ref="I400:I401"/>
    <mergeCell ref="J400:J401"/>
    <mergeCell ref="K400:K401"/>
    <mergeCell ref="A407:A408"/>
    <mergeCell ref="G407:G408"/>
    <mergeCell ref="A409:A410"/>
    <mergeCell ref="G409:G410"/>
    <mergeCell ref="A411:A412"/>
    <mergeCell ref="G411:G412"/>
    <mergeCell ref="A413:A414"/>
    <mergeCell ref="G413:G414"/>
    <mergeCell ref="A415:A416"/>
    <mergeCell ref="G415:G416"/>
    <mergeCell ref="A417:A418"/>
    <mergeCell ref="G417:G418"/>
    <mergeCell ref="A419:A420"/>
    <mergeCell ref="G419:G420"/>
    <mergeCell ref="A421:A422"/>
    <mergeCell ref="G421:G422"/>
    <mergeCell ref="G423:G424"/>
  </mergeCells>
  <phoneticPr fontId="20" type="Hiragana"/>
  <conditionalFormatting sqref="F174:Q205">
    <cfRule type="cellIs" dxfId="0" priority="11" stopIfTrue="1" operator="equal">
      <formula>0</formula>
    </cfRule>
  </conditionalFormatting>
  <pageMargins left="0.78740157480314954" right="0.78740157480314954" top="0.98425196850393704" bottom="0.98425196850393704" header="0.51181102362204722" footer="0.51181102362204722"/>
  <pageSetup paperSize="9" scale="81"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6</vt:i4>
      </vt:variant>
    </vt:vector>
  </HeadingPairs>
  <TitlesOfParts>
    <vt:vector size="6" baseType="lpstr">
      <vt:lpstr>簡易試算シート</vt:lpstr>
      <vt:lpstr>試算方法</vt:lpstr>
      <vt:lpstr>試算シート</vt:lpstr>
      <vt:lpstr>軽減判定シート</vt:lpstr>
      <vt:lpstr>所得計算シート</vt:lpstr>
      <vt:lpstr>【編集者】入力・計算用シート</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NT068064</dc:creator>
  <cp:lastModifiedBy>中村　梨紗</cp:lastModifiedBy>
  <cp:lastPrinted>2023-03-16T08:14:13Z</cp:lastPrinted>
  <dcterms:created xsi:type="dcterms:W3CDTF">2012-02-27T09:08:59Z</dcterms:created>
  <dcterms:modified xsi:type="dcterms:W3CDTF">2026-03-23T06:59:18Z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5.0.6.0</vt:lpwstr>
    </vt:vector>
  </property>
  <property fmtid="{DCFEDD21-7773-49B2-8022-6FC58DB5260B}" pid="3" name="LastSavedVersion">
    <vt:lpwstr>5.0.6.0</vt:lpwstr>
  </property>
  <property fmtid="{DCFEDD21-7773-49B2-8022-6FC58DB5260B}" pid="4" name="LastSavedDate">
    <vt:filetime>2026-03-23T06:59:18Z</vt:filetime>
  </property>
</Properties>
</file>